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D:\5A السنة المالية 2021\صفحة الدائرة المالية\"/>
    </mc:Choice>
  </mc:AlternateContent>
  <xr:revisionPtr revIDLastSave="0" documentId="13_ncr:1_{8F23CE77-2DDF-42D0-90C2-B85AD81A6A92}" xr6:coauthVersionLast="46" xr6:coauthVersionMax="46" xr10:uidLastSave="{00000000-0000-0000-0000-000000000000}"/>
  <bookViews>
    <workbookView xWindow="-120" yWindow="-120" windowWidth="20730" windowHeight="11160" tabRatio="997" activeTab="1" xr2:uid="{00000000-000D-0000-FFFF-FFFF00000000}"/>
  </bookViews>
  <sheets>
    <sheet name="الواجهة" sheetId="16" r:id="rId1"/>
    <sheet name="خلاصة" sheetId="8" r:id="rId2"/>
    <sheet name="ر-باب" sheetId="9" r:id="rId3"/>
    <sheet name="ن-باب" sheetId="10" r:id="rId4"/>
    <sheet name="ر-فصل" sheetId="11" r:id="rId5"/>
    <sheet name="ن-فصل" sheetId="12" r:id="rId6"/>
    <sheet name="ر-مواد" sheetId="13" r:id="rId7"/>
    <sheet name="ن-مواد" sheetId="14" r:id="rId8"/>
    <sheet name="ر-فرعي" sheetId="6" r:id="rId9"/>
    <sheet name="ن-فرعي" sheetId="4" r:id="rId10"/>
    <sheet name=" جهات" sheetId="7" r:id="rId11"/>
    <sheet name="النسب" sheetId="44" r:id="rId12"/>
    <sheet name="التدفق النقدي" sheetId="45" r:id="rId13"/>
    <sheet name="أمانات وذمم" sheetId="46" r:id="rId14"/>
    <sheet name="أعداد طلبة الجهات" sheetId="47" r:id="rId15"/>
    <sheet name="ويب3" sheetId="42" state="hidden" r:id="rId16"/>
    <sheet name="ويب4" sheetId="43" state="hidden" r:id="rId17"/>
  </sheets>
  <definedNames>
    <definedName name="_xlnm.Print_Area" localSheetId="10">' جهات'!$A$1:$L$486</definedName>
    <definedName name="_xlnm.Print_Area" localSheetId="1">خلاصة!$B$1:$Q$25</definedName>
    <definedName name="_xlnm.Print_Area" localSheetId="2">'ر-باب'!$A$1:$F$32</definedName>
    <definedName name="_xlnm.Print_Area" localSheetId="8">'ر-فرعي'!$A$1:$I$201</definedName>
    <definedName name="_xlnm.Print_Area" localSheetId="4">'ر-فصل'!$A$1:$G$50</definedName>
    <definedName name="_xlnm.Print_Area" localSheetId="6">'ر-مواد'!$A$1:$G$153</definedName>
    <definedName name="_xlnm.Print_Area" localSheetId="3">'ن-باب'!$A$1:$H$46</definedName>
    <definedName name="_xlnm.Print_Area" localSheetId="9">'ن-فرعي'!$A$1:$K$403</definedName>
    <definedName name="_xlnm.Print_Area" localSheetId="5">'ن-فصل'!$A$1:$I$110</definedName>
    <definedName name="_xlnm.Print_Area" localSheetId="7">'ن-مواد'!$A$1:$I$268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8" l="1"/>
  <c r="Q7" i="8" l="1"/>
  <c r="Q6" i="8"/>
  <c r="R19" i="8"/>
  <c r="H13" i="46" l="1"/>
  <c r="F27" i="46"/>
  <c r="O12" i="46" s="1"/>
  <c r="O13" i="46" s="1"/>
  <c r="O11" i="46"/>
  <c r="K15" i="45"/>
  <c r="L14" i="45"/>
  <c r="O6" i="46"/>
  <c r="M17" i="8"/>
  <c r="D32" i="45" s="1"/>
  <c r="G12" i="46"/>
  <c r="F26" i="45"/>
  <c r="F42" i="45"/>
  <c r="D38" i="45"/>
  <c r="D37" i="45"/>
  <c r="K27" i="45"/>
  <c r="D36" i="45"/>
  <c r="D35" i="45"/>
  <c r="D34" i="45"/>
  <c r="C17" i="8"/>
  <c r="B35" i="45"/>
  <c r="B34" i="45"/>
  <c r="D33" i="45"/>
  <c r="B33" i="45"/>
  <c r="B32" i="45"/>
  <c r="D22" i="45"/>
  <c r="D23" i="45"/>
  <c r="L5" i="45"/>
  <c r="L4" i="45"/>
  <c r="M2" i="45"/>
  <c r="K2" i="45"/>
  <c r="N7" i="45"/>
  <c r="N6" i="45"/>
  <c r="L6" i="45"/>
  <c r="D31" i="45"/>
  <c r="N9" i="45" s="1"/>
  <c r="D30" i="45"/>
  <c r="L7" i="45" s="1"/>
  <c r="D29" i="45"/>
  <c r="L8" i="45" s="1"/>
  <c r="D25" i="45"/>
  <c r="N11" i="45" s="1"/>
  <c r="D24" i="45"/>
  <c r="N12" i="45" s="1"/>
  <c r="D21" i="45"/>
  <c r="D20" i="45"/>
  <c r="L3" i="45" s="1"/>
  <c r="D12" i="45"/>
  <c r="N4" i="45" s="1"/>
  <c r="D11" i="45"/>
  <c r="N10" i="45" s="1"/>
  <c r="D10" i="45"/>
  <c r="N8" i="45" s="1"/>
  <c r="D9" i="45"/>
  <c r="D8" i="45"/>
  <c r="N3" i="45" s="1"/>
  <c r="D7" i="45"/>
  <c r="N2" i="45" s="1"/>
  <c r="D6" i="45"/>
  <c r="N5" i="45" s="1"/>
  <c r="D5" i="45"/>
  <c r="D4" i="45"/>
  <c r="L2" i="45" s="1"/>
  <c r="C27" i="44"/>
  <c r="C24" i="44"/>
  <c r="C13" i="44"/>
  <c r="C12" i="44"/>
  <c r="C11" i="44"/>
  <c r="C10" i="44"/>
  <c r="C9" i="44"/>
  <c r="C8" i="44"/>
  <c r="C7" i="44"/>
  <c r="C6" i="44"/>
  <c r="C5" i="44"/>
  <c r="C4" i="44"/>
  <c r="O14" i="46" l="1"/>
  <c r="K25" i="45"/>
  <c r="F39" i="45"/>
  <c r="M25" i="45"/>
  <c r="L9" i="45"/>
  <c r="F21" i="46"/>
  <c r="G21" i="46" s="1"/>
  <c r="C27" i="46"/>
  <c r="D27" i="46"/>
  <c r="E27" i="46"/>
  <c r="G26" i="46"/>
  <c r="F17" i="46"/>
  <c r="G17" i="46" s="1"/>
  <c r="F33" i="46"/>
  <c r="F32" i="46"/>
  <c r="G32" i="46" s="1"/>
  <c r="F25" i="46"/>
  <c r="G25" i="46" s="1"/>
  <c r="F26" i="46"/>
  <c r="F24" i="46"/>
  <c r="G24" i="46" s="1"/>
  <c r="F23" i="46"/>
  <c r="G23" i="46" s="1"/>
  <c r="F22" i="46"/>
  <c r="G22" i="46" s="1"/>
  <c r="E13" i="46"/>
  <c r="F13" i="46" s="1"/>
  <c r="E10" i="46"/>
  <c r="D10" i="46"/>
  <c r="D14" i="46" s="1"/>
  <c r="F9" i="46"/>
  <c r="G9" i="46" s="1"/>
  <c r="F8" i="46"/>
  <c r="G8" i="46" s="1"/>
  <c r="F5" i="46"/>
  <c r="G5" i="46" s="1"/>
  <c r="C13" i="46"/>
  <c r="N8" i="46"/>
  <c r="O8" i="46" s="1"/>
  <c r="K6" i="46"/>
  <c r="C6" i="46" s="1"/>
  <c r="C10" i="46" s="1"/>
  <c r="N5" i="46"/>
  <c r="O5" i="46" s="1"/>
  <c r="N4" i="46"/>
  <c r="O4" i="46" s="1"/>
  <c r="F6" i="46"/>
  <c r="F4" i="46"/>
  <c r="G4" i="46" s="1"/>
  <c r="F7" i="46"/>
  <c r="G7" i="46" s="1"/>
  <c r="H27" i="46" l="1"/>
  <c r="G13" i="46"/>
  <c r="D16" i="45" s="1"/>
  <c r="N25" i="45" s="1"/>
  <c r="G33" i="46"/>
  <c r="G34" i="46" s="1"/>
  <c r="K43" i="45"/>
  <c r="C14" i="46"/>
  <c r="G6" i="46"/>
  <c r="H10" i="46" s="1"/>
  <c r="F10" i="46"/>
  <c r="G10" i="46" s="1"/>
  <c r="E14" i="46"/>
  <c r="C17" i="44"/>
  <c r="C16" i="44"/>
  <c r="C14" i="44"/>
  <c r="C26" i="44"/>
  <c r="C25" i="44"/>
  <c r="C20" i="44"/>
  <c r="C23" i="44"/>
  <c r="C22" i="44"/>
  <c r="C21" i="44"/>
  <c r="C19" i="44"/>
  <c r="C18" i="44"/>
  <c r="K31" i="45"/>
  <c r="K30" i="45"/>
  <c r="G18" i="46"/>
  <c r="D14" i="45" s="1"/>
  <c r="H14" i="46" l="1"/>
  <c r="D15" i="45"/>
  <c r="G27" i="46"/>
  <c r="F14" i="46"/>
  <c r="G14" i="46" s="1"/>
  <c r="I10" i="46"/>
  <c r="L30" i="45"/>
  <c r="N13" i="45"/>
  <c r="L25" i="45"/>
  <c r="M15" i="8"/>
  <c r="O15" i="8" s="1"/>
  <c r="M16" i="8"/>
  <c r="O16" i="8" s="1"/>
  <c r="P24" i="8"/>
  <c r="P23" i="8"/>
  <c r="O24" i="8"/>
  <c r="O23" i="8"/>
  <c r="G24" i="8"/>
  <c r="G23" i="8"/>
  <c r="F24" i="8"/>
  <c r="F23" i="8"/>
  <c r="O17" i="8"/>
  <c r="P17" i="8"/>
  <c r="O18" i="8"/>
  <c r="P18" i="8"/>
  <c r="F5" i="9"/>
  <c r="G45" i="10"/>
  <c r="H45" i="10"/>
  <c r="H44" i="10"/>
  <c r="G44" i="10"/>
  <c r="H39" i="10"/>
  <c r="G39" i="10"/>
  <c r="G6" i="10"/>
  <c r="H6" i="10"/>
  <c r="G7" i="10"/>
  <c r="H7" i="10"/>
  <c r="G8" i="10"/>
  <c r="H8" i="10"/>
  <c r="G9" i="10"/>
  <c r="H9" i="10"/>
  <c r="G10" i="10"/>
  <c r="H10" i="10"/>
  <c r="G11" i="10"/>
  <c r="H11" i="10"/>
  <c r="G12" i="10"/>
  <c r="H12" i="10"/>
  <c r="G13" i="10"/>
  <c r="H13" i="10"/>
  <c r="G16" i="10"/>
  <c r="H16" i="10"/>
  <c r="G17" i="10"/>
  <c r="H17" i="10"/>
  <c r="G18" i="10"/>
  <c r="H18" i="10"/>
  <c r="G19" i="10"/>
  <c r="H19" i="10"/>
  <c r="G20" i="10"/>
  <c r="H20" i="10"/>
  <c r="G21" i="10"/>
  <c r="H21" i="10"/>
  <c r="G22" i="10"/>
  <c r="H22" i="10"/>
  <c r="G25" i="10"/>
  <c r="H25" i="10"/>
  <c r="G28" i="10"/>
  <c r="H28" i="10"/>
  <c r="G29" i="10"/>
  <c r="H29" i="10"/>
  <c r="G30" i="10"/>
  <c r="H30" i="10"/>
  <c r="G31" i="10"/>
  <c r="H31" i="10"/>
  <c r="G32" i="10"/>
  <c r="H32" i="10"/>
  <c r="G33" i="10"/>
  <c r="H33" i="10"/>
  <c r="H5" i="10"/>
  <c r="G5" i="10"/>
  <c r="G48" i="11"/>
  <c r="F48" i="11"/>
  <c r="F46" i="11"/>
  <c r="G46" i="11"/>
  <c r="G45" i="11"/>
  <c r="F45" i="11"/>
  <c r="F40" i="11"/>
  <c r="G40" i="11"/>
  <c r="F41" i="11"/>
  <c r="G41" i="11"/>
  <c r="G39" i="11"/>
  <c r="F39" i="11"/>
  <c r="F5" i="11"/>
  <c r="G5" i="11"/>
  <c r="F6" i="11"/>
  <c r="G6" i="11"/>
  <c r="F7" i="11"/>
  <c r="G7" i="11"/>
  <c r="F8" i="11"/>
  <c r="G8" i="11"/>
  <c r="F9" i="11"/>
  <c r="G9" i="11"/>
  <c r="F10" i="11"/>
  <c r="G10" i="11"/>
  <c r="F11" i="11"/>
  <c r="G11" i="11"/>
  <c r="F12" i="11"/>
  <c r="G12" i="11"/>
  <c r="F15" i="11"/>
  <c r="G15" i="11"/>
  <c r="F18" i="11"/>
  <c r="G18" i="11"/>
  <c r="F19" i="11"/>
  <c r="G19" i="11"/>
  <c r="F20" i="11"/>
  <c r="G20" i="11"/>
  <c r="F21" i="11"/>
  <c r="G21" i="11"/>
  <c r="F23" i="11"/>
  <c r="G23" i="11"/>
  <c r="F24" i="11"/>
  <c r="G24" i="11"/>
  <c r="F25" i="11"/>
  <c r="G25" i="11"/>
  <c r="F26" i="11"/>
  <c r="G26" i="11"/>
  <c r="F29" i="11"/>
  <c r="G29" i="11"/>
  <c r="F33" i="11"/>
  <c r="G33" i="11"/>
  <c r="F34" i="11"/>
  <c r="G34" i="11"/>
  <c r="G4" i="11"/>
  <c r="F4" i="11"/>
  <c r="I108" i="12"/>
  <c r="H108" i="12"/>
  <c r="H106" i="12"/>
  <c r="I106" i="12"/>
  <c r="I105" i="12"/>
  <c r="H105" i="12"/>
  <c r="H98" i="12"/>
  <c r="I98" i="12"/>
  <c r="H99" i="12"/>
  <c r="I99" i="12"/>
  <c r="H100" i="12"/>
  <c r="I100" i="12"/>
  <c r="I97" i="12"/>
  <c r="H97" i="12"/>
  <c r="H5" i="12"/>
  <c r="I5" i="12"/>
  <c r="H6" i="12"/>
  <c r="I6" i="12"/>
  <c r="H7" i="12"/>
  <c r="I7" i="12"/>
  <c r="H9" i="12"/>
  <c r="I9" i="12"/>
  <c r="H10" i="12"/>
  <c r="I10" i="12"/>
  <c r="H11" i="12"/>
  <c r="I11" i="12"/>
  <c r="H12" i="12"/>
  <c r="I12" i="12"/>
  <c r="H13" i="12"/>
  <c r="I13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3" i="12"/>
  <c r="I23" i="12"/>
  <c r="H24" i="12"/>
  <c r="I24" i="12"/>
  <c r="H25" i="12"/>
  <c r="I25" i="12"/>
  <c r="H26" i="12"/>
  <c r="I26" i="12"/>
  <c r="H27" i="12"/>
  <c r="I27" i="12"/>
  <c r="H28" i="12"/>
  <c r="I28" i="12"/>
  <c r="H29" i="12"/>
  <c r="I29" i="12"/>
  <c r="H30" i="12"/>
  <c r="I30" i="12"/>
  <c r="H32" i="12"/>
  <c r="I32" i="12"/>
  <c r="H33" i="12"/>
  <c r="I33" i="12"/>
  <c r="H34" i="12"/>
  <c r="I34" i="12"/>
  <c r="H35" i="12"/>
  <c r="I35" i="12"/>
  <c r="H36" i="12"/>
  <c r="I36" i="12"/>
  <c r="H37" i="12"/>
  <c r="I37" i="12"/>
  <c r="H38" i="12"/>
  <c r="I38" i="12"/>
  <c r="H40" i="12"/>
  <c r="I40" i="12"/>
  <c r="H41" i="12"/>
  <c r="I41" i="12"/>
  <c r="H42" i="12"/>
  <c r="I42" i="12"/>
  <c r="H44" i="12"/>
  <c r="I44" i="12"/>
  <c r="H46" i="12"/>
  <c r="I46" i="12"/>
  <c r="H48" i="12"/>
  <c r="I48" i="12"/>
  <c r="H51" i="12"/>
  <c r="I51" i="12"/>
  <c r="H52" i="12"/>
  <c r="I52" i="12"/>
  <c r="H54" i="12"/>
  <c r="I54" i="12"/>
  <c r="H56" i="12"/>
  <c r="I56" i="12"/>
  <c r="H58" i="12"/>
  <c r="I58" i="12"/>
  <c r="H60" i="12"/>
  <c r="I60" i="12"/>
  <c r="H62" i="12"/>
  <c r="I62" i="12"/>
  <c r="H63" i="12"/>
  <c r="I63" i="12"/>
  <c r="H64" i="12"/>
  <c r="I64" i="12"/>
  <c r="H66" i="12"/>
  <c r="I66" i="12"/>
  <c r="H69" i="12"/>
  <c r="I69" i="12"/>
  <c r="H70" i="12"/>
  <c r="I70" i="12"/>
  <c r="H73" i="12"/>
  <c r="I73" i="12"/>
  <c r="H74" i="12"/>
  <c r="I74" i="12"/>
  <c r="H76" i="12"/>
  <c r="I76" i="12"/>
  <c r="H77" i="12"/>
  <c r="I77" i="12"/>
  <c r="H78" i="12"/>
  <c r="I78" i="12"/>
  <c r="H80" i="12"/>
  <c r="I80" i="12"/>
  <c r="H81" i="12"/>
  <c r="I81" i="12"/>
  <c r="H82" i="12"/>
  <c r="I82" i="12"/>
  <c r="H84" i="12"/>
  <c r="I84" i="12"/>
  <c r="H85" i="12"/>
  <c r="I85" i="12"/>
  <c r="H87" i="12"/>
  <c r="I87" i="12"/>
  <c r="H88" i="12"/>
  <c r="I88" i="12"/>
  <c r="H89" i="12"/>
  <c r="I89" i="12"/>
  <c r="H91" i="12"/>
  <c r="I91" i="12"/>
  <c r="I4" i="12"/>
  <c r="H4" i="12"/>
  <c r="I157" i="6"/>
  <c r="H157" i="6"/>
  <c r="L486" i="7"/>
  <c r="K486" i="7"/>
  <c r="L485" i="7"/>
  <c r="K485" i="7"/>
  <c r="L476" i="7"/>
  <c r="K467" i="7"/>
  <c r="L467" i="7"/>
  <c r="K468" i="7"/>
  <c r="L468" i="7"/>
  <c r="K469" i="7"/>
  <c r="L469" i="7"/>
  <c r="K470" i="7"/>
  <c r="L470" i="7"/>
  <c r="K471" i="7"/>
  <c r="L471" i="7"/>
  <c r="K472" i="7"/>
  <c r="L472" i="7"/>
  <c r="K473" i="7"/>
  <c r="L473" i="7"/>
  <c r="K474" i="7"/>
  <c r="L474" i="7"/>
  <c r="K475" i="7"/>
  <c r="L475" i="7"/>
  <c r="K476" i="7"/>
  <c r="L466" i="7"/>
  <c r="K466" i="7"/>
  <c r="K450" i="7"/>
  <c r="L450" i="7"/>
  <c r="K451" i="7"/>
  <c r="L451" i="7"/>
  <c r="K452" i="7"/>
  <c r="L452" i="7"/>
  <c r="K453" i="7"/>
  <c r="L453" i="7"/>
  <c r="K454" i="7"/>
  <c r="L454" i="7"/>
  <c r="K455" i="7"/>
  <c r="L455" i="7"/>
  <c r="K456" i="7"/>
  <c r="L456" i="7"/>
  <c r="K457" i="7"/>
  <c r="L457" i="7"/>
  <c r="K458" i="7"/>
  <c r="L458" i="7"/>
  <c r="K459" i="7"/>
  <c r="L459" i="7"/>
  <c r="K460" i="7"/>
  <c r="L460" i="7"/>
  <c r="K461" i="7"/>
  <c r="L461" i="7"/>
  <c r="K462" i="7"/>
  <c r="L462" i="7"/>
  <c r="K463" i="7"/>
  <c r="L463" i="7"/>
  <c r="K464" i="7"/>
  <c r="L464" i="7"/>
  <c r="K465" i="7"/>
  <c r="L465" i="7"/>
  <c r="L449" i="7"/>
  <c r="K449" i="7"/>
  <c r="H259" i="14"/>
  <c r="I259" i="14"/>
  <c r="H260" i="14"/>
  <c r="I260" i="14"/>
  <c r="H261" i="14"/>
  <c r="I261" i="14"/>
  <c r="H262" i="14"/>
  <c r="I262" i="14"/>
  <c r="H263" i="14"/>
  <c r="I263" i="14"/>
  <c r="H264" i="14"/>
  <c r="I264" i="14"/>
  <c r="H265" i="14"/>
  <c r="I265" i="14"/>
  <c r="H266" i="14"/>
  <c r="I266" i="14"/>
  <c r="I258" i="14"/>
  <c r="H258" i="14"/>
  <c r="H241" i="14"/>
  <c r="I241" i="14"/>
  <c r="H242" i="14"/>
  <c r="I242" i="14"/>
  <c r="H243" i="14"/>
  <c r="I243" i="14"/>
  <c r="H244" i="14"/>
  <c r="I244" i="14"/>
  <c r="H245" i="14"/>
  <c r="I245" i="14"/>
  <c r="H246" i="14"/>
  <c r="I246" i="14"/>
  <c r="H247" i="14"/>
  <c r="I247" i="14"/>
  <c r="H248" i="14"/>
  <c r="I248" i="14"/>
  <c r="H249" i="14"/>
  <c r="I249" i="14"/>
  <c r="H250" i="14"/>
  <c r="I250" i="14"/>
  <c r="H251" i="14"/>
  <c r="I251" i="14"/>
  <c r="H252" i="14"/>
  <c r="I252" i="14"/>
  <c r="H253" i="14"/>
  <c r="I253" i="14"/>
  <c r="H254" i="14"/>
  <c r="I254" i="14"/>
  <c r="H255" i="14"/>
  <c r="I255" i="14"/>
  <c r="I240" i="14"/>
  <c r="H240" i="14"/>
  <c r="H231" i="14"/>
  <c r="I231" i="14"/>
  <c r="H233" i="14"/>
  <c r="I233" i="14"/>
  <c r="I230" i="14"/>
  <c r="H230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6" i="14"/>
  <c r="H27" i="14"/>
  <c r="H28" i="14"/>
  <c r="H29" i="14"/>
  <c r="H30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5" i="14"/>
  <c r="H118" i="14"/>
  <c r="H121" i="14"/>
  <c r="H126" i="14"/>
  <c r="H127" i="14"/>
  <c r="H128" i="14"/>
  <c r="H129" i="14"/>
  <c r="H130" i="14"/>
  <c r="H131" i="14"/>
  <c r="H132" i="14"/>
  <c r="H135" i="14"/>
  <c r="H136" i="14"/>
  <c r="H139" i="14"/>
  <c r="H140" i="14"/>
  <c r="H141" i="14"/>
  <c r="H142" i="14"/>
  <c r="H145" i="14"/>
  <c r="H146" i="14"/>
  <c r="H147" i="14"/>
  <c r="H148" i="14"/>
  <c r="H149" i="14"/>
  <c r="H152" i="14"/>
  <c r="H155" i="14"/>
  <c r="H156" i="14"/>
  <c r="H157" i="14"/>
  <c r="H158" i="14"/>
  <c r="H161" i="14"/>
  <c r="H162" i="14"/>
  <c r="H167" i="14"/>
  <c r="H168" i="14"/>
  <c r="H173" i="14"/>
  <c r="H174" i="14"/>
  <c r="H175" i="14"/>
  <c r="H176" i="14"/>
  <c r="H177" i="14"/>
  <c r="H178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5" i="14"/>
  <c r="H196" i="14"/>
  <c r="H197" i="14"/>
  <c r="H198" i="14"/>
  <c r="H199" i="14"/>
  <c r="H200" i="14"/>
  <c r="H201" i="14"/>
  <c r="H202" i="14"/>
  <c r="H203" i="14"/>
  <c r="H204" i="14"/>
  <c r="H207" i="14"/>
  <c r="H208" i="14"/>
  <c r="H209" i="14"/>
  <c r="H212" i="14"/>
  <c r="H213" i="14"/>
  <c r="H214" i="14"/>
  <c r="H215" i="14"/>
  <c r="H216" i="14"/>
  <c r="H217" i="14"/>
  <c r="H218" i="14"/>
  <c r="H219" i="14"/>
  <c r="H222" i="14"/>
  <c r="H6" i="14"/>
  <c r="J7" i="4"/>
  <c r="J392" i="4"/>
  <c r="K403" i="4"/>
  <c r="J403" i="4"/>
  <c r="K393" i="4"/>
  <c r="K394" i="4"/>
  <c r="K395" i="4"/>
  <c r="K396" i="4"/>
  <c r="K397" i="4"/>
  <c r="K398" i="4"/>
  <c r="K399" i="4"/>
  <c r="K400" i="4"/>
  <c r="K401" i="4"/>
  <c r="K402" i="4"/>
  <c r="K392" i="4"/>
  <c r="J401" i="4"/>
  <c r="J402" i="4"/>
  <c r="J393" i="4"/>
  <c r="J394" i="4"/>
  <c r="J395" i="4"/>
  <c r="J396" i="4"/>
  <c r="J397" i="4"/>
  <c r="J398" i="4"/>
  <c r="J399" i="4"/>
  <c r="J400" i="4"/>
  <c r="H191" i="6"/>
  <c r="I191" i="6"/>
  <c r="H192" i="6"/>
  <c r="I192" i="6"/>
  <c r="H193" i="6"/>
  <c r="I193" i="6"/>
  <c r="H194" i="6"/>
  <c r="I194" i="6"/>
  <c r="H195" i="6"/>
  <c r="I195" i="6"/>
  <c r="H196" i="6"/>
  <c r="I196" i="6"/>
  <c r="H197" i="6"/>
  <c r="I197" i="6"/>
  <c r="H198" i="6"/>
  <c r="I198" i="6"/>
  <c r="I190" i="6"/>
  <c r="H190" i="6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70" i="4"/>
  <c r="H169" i="6"/>
  <c r="I169" i="6"/>
  <c r="H170" i="6"/>
  <c r="I170" i="6"/>
  <c r="H171" i="6"/>
  <c r="I171" i="6"/>
  <c r="H172" i="6"/>
  <c r="I172" i="6"/>
  <c r="H173" i="6"/>
  <c r="I173" i="6"/>
  <c r="H174" i="6"/>
  <c r="I174" i="6"/>
  <c r="H177" i="6"/>
  <c r="I177" i="6"/>
  <c r="H178" i="6"/>
  <c r="I178" i="6"/>
  <c r="H179" i="6"/>
  <c r="I179" i="6"/>
  <c r="H180" i="6"/>
  <c r="I180" i="6"/>
  <c r="H181" i="6"/>
  <c r="I181" i="6"/>
  <c r="H182" i="6"/>
  <c r="I182" i="6"/>
  <c r="H183" i="6"/>
  <c r="I183" i="6"/>
  <c r="H184" i="6"/>
  <c r="I184" i="6"/>
  <c r="H185" i="6"/>
  <c r="I185" i="6"/>
  <c r="I168" i="6"/>
  <c r="H168" i="6"/>
  <c r="H158" i="6"/>
  <c r="I158" i="6"/>
  <c r="H159" i="6"/>
  <c r="I159" i="6"/>
  <c r="H8" i="6"/>
  <c r="I8" i="6"/>
  <c r="H9" i="6"/>
  <c r="I9" i="6"/>
  <c r="H10" i="6"/>
  <c r="I10" i="6"/>
  <c r="H11" i="6"/>
  <c r="I11" i="6"/>
  <c r="H14" i="6"/>
  <c r="I14" i="6"/>
  <c r="H15" i="6"/>
  <c r="I15" i="6"/>
  <c r="H16" i="6"/>
  <c r="I16" i="6"/>
  <c r="H19" i="6"/>
  <c r="I19" i="6"/>
  <c r="H20" i="6"/>
  <c r="I20" i="6"/>
  <c r="H21" i="6"/>
  <c r="I21" i="6"/>
  <c r="H22" i="6"/>
  <c r="I22" i="6"/>
  <c r="H23" i="6"/>
  <c r="I23" i="6"/>
  <c r="H26" i="6"/>
  <c r="I26" i="6"/>
  <c r="H27" i="6"/>
  <c r="I27" i="6"/>
  <c r="H28" i="6"/>
  <c r="I28" i="6"/>
  <c r="H29" i="6"/>
  <c r="I29" i="6"/>
  <c r="H30" i="6"/>
  <c r="I30" i="6"/>
  <c r="H31" i="6"/>
  <c r="I31" i="6"/>
  <c r="H34" i="6"/>
  <c r="I34" i="6"/>
  <c r="H35" i="6"/>
  <c r="I35" i="6"/>
  <c r="H36" i="6"/>
  <c r="I36" i="6"/>
  <c r="H37" i="6"/>
  <c r="I37" i="6"/>
  <c r="H38" i="6"/>
  <c r="I38" i="6"/>
  <c r="H39" i="6"/>
  <c r="I39" i="6"/>
  <c r="H42" i="6"/>
  <c r="I42" i="6"/>
  <c r="H43" i="6"/>
  <c r="I43" i="6"/>
  <c r="H44" i="6"/>
  <c r="I44" i="6"/>
  <c r="H45" i="6"/>
  <c r="I45" i="6"/>
  <c r="H46" i="6"/>
  <c r="I46" i="6"/>
  <c r="H47" i="6"/>
  <c r="I47" i="6"/>
  <c r="H50" i="6"/>
  <c r="I50" i="6"/>
  <c r="H51" i="6"/>
  <c r="I51" i="6"/>
  <c r="H52" i="6"/>
  <c r="I52" i="6"/>
  <c r="H53" i="6"/>
  <c r="I53" i="6"/>
  <c r="H54" i="6"/>
  <c r="I54" i="6"/>
  <c r="H55" i="6"/>
  <c r="I55" i="6"/>
  <c r="H58" i="6"/>
  <c r="I58" i="6"/>
  <c r="H59" i="6"/>
  <c r="I59" i="6"/>
  <c r="H60" i="6"/>
  <c r="I60" i="6"/>
  <c r="H61" i="6"/>
  <c r="I61" i="6"/>
  <c r="H62" i="6"/>
  <c r="I62" i="6"/>
  <c r="H65" i="6"/>
  <c r="I65" i="6"/>
  <c r="H66" i="6"/>
  <c r="I66" i="6"/>
  <c r="H73" i="6"/>
  <c r="I73" i="6"/>
  <c r="H80" i="6"/>
  <c r="I80" i="6"/>
  <c r="H83" i="6"/>
  <c r="I83" i="6"/>
  <c r="H84" i="6"/>
  <c r="I84" i="6"/>
  <c r="H85" i="6"/>
  <c r="I85" i="6"/>
  <c r="H86" i="6"/>
  <c r="I86" i="6"/>
  <c r="H87" i="6"/>
  <c r="I87" i="6"/>
  <c r="H90" i="6"/>
  <c r="I90" i="6"/>
  <c r="H91" i="6"/>
  <c r="I91" i="6"/>
  <c r="H92" i="6"/>
  <c r="I92" i="6"/>
  <c r="H93" i="6"/>
  <c r="I93" i="6"/>
  <c r="H94" i="6"/>
  <c r="I94" i="6"/>
  <c r="H95" i="6"/>
  <c r="I95" i="6"/>
  <c r="H96" i="6"/>
  <c r="I96" i="6"/>
  <c r="H97" i="6"/>
  <c r="I97" i="6"/>
  <c r="H98" i="6"/>
  <c r="I98" i="6"/>
  <c r="H101" i="6"/>
  <c r="I101" i="6"/>
  <c r="H106" i="6"/>
  <c r="I106" i="6"/>
  <c r="H107" i="6"/>
  <c r="I107" i="6"/>
  <c r="H108" i="6"/>
  <c r="I108" i="6"/>
  <c r="H109" i="6"/>
  <c r="I109" i="6"/>
  <c r="H110" i="6"/>
  <c r="I110" i="6"/>
  <c r="H111" i="6"/>
  <c r="I111" i="6"/>
  <c r="H112" i="6"/>
  <c r="I112" i="6"/>
  <c r="H113" i="6"/>
  <c r="I113" i="6"/>
  <c r="H114" i="6"/>
  <c r="I114" i="6"/>
  <c r="H115" i="6"/>
  <c r="I115" i="6"/>
  <c r="H116" i="6"/>
  <c r="I116" i="6"/>
  <c r="H117" i="6"/>
  <c r="I117" i="6"/>
  <c r="H118" i="6"/>
  <c r="I118" i="6"/>
  <c r="H119" i="6"/>
  <c r="I119" i="6"/>
  <c r="H120" i="6"/>
  <c r="I120" i="6"/>
  <c r="H121" i="6"/>
  <c r="I121" i="6"/>
  <c r="H122" i="6"/>
  <c r="I122" i="6"/>
  <c r="H123" i="6"/>
  <c r="I123" i="6"/>
  <c r="H124" i="6"/>
  <c r="I124" i="6"/>
  <c r="H127" i="6"/>
  <c r="I127" i="6"/>
  <c r="H130" i="6"/>
  <c r="I130" i="6"/>
  <c r="H133" i="6"/>
  <c r="I133" i="6"/>
  <c r="H140" i="6"/>
  <c r="I140" i="6"/>
  <c r="H141" i="6"/>
  <c r="I141" i="6"/>
  <c r="I7" i="6"/>
  <c r="H7" i="6"/>
  <c r="I68" i="4"/>
  <c r="I67" i="4"/>
  <c r="J208" i="4"/>
  <c r="I14" i="46" l="1"/>
  <c r="G30" i="46"/>
  <c r="K18" i="45" s="1"/>
  <c r="I27" i="46"/>
  <c r="D13" i="45"/>
  <c r="K17" i="45" s="1"/>
  <c r="N14" i="45"/>
  <c r="P16" i="8"/>
  <c r="F17" i="45" l="1"/>
  <c r="F41" i="45" s="1"/>
  <c r="F43" i="45" s="1"/>
  <c r="L43" i="45" s="1"/>
  <c r="H34" i="46"/>
  <c r="G446" i="7"/>
  <c r="K442" i="7"/>
  <c r="K5" i="7"/>
  <c r="G342" i="4"/>
  <c r="H342" i="4"/>
  <c r="I342" i="4"/>
  <c r="F342" i="4"/>
  <c r="G331" i="4"/>
  <c r="H331" i="4"/>
  <c r="I331" i="4"/>
  <c r="F331" i="4"/>
  <c r="G265" i="4"/>
  <c r="H265" i="4"/>
  <c r="I265" i="4"/>
  <c r="F265" i="4"/>
  <c r="G249" i="4"/>
  <c r="H249" i="4"/>
  <c r="I249" i="4"/>
  <c r="F249" i="4"/>
  <c r="G246" i="4"/>
  <c r="H246" i="4"/>
  <c r="I246" i="4"/>
  <c r="F246" i="4"/>
  <c r="G242" i="4"/>
  <c r="H242" i="4"/>
  <c r="I242" i="4"/>
  <c r="F242" i="4"/>
  <c r="G203" i="4"/>
  <c r="H203" i="4"/>
  <c r="I203" i="4"/>
  <c r="F203" i="4"/>
  <c r="G138" i="4"/>
  <c r="H138" i="4"/>
  <c r="I138" i="4"/>
  <c r="F138" i="4"/>
  <c r="G132" i="4"/>
  <c r="H132" i="4"/>
  <c r="I132" i="4"/>
  <c r="F132" i="4"/>
  <c r="G61" i="4"/>
  <c r="H61" i="4"/>
  <c r="I61" i="4"/>
  <c r="F61" i="4"/>
  <c r="G58" i="4"/>
  <c r="H58" i="4"/>
  <c r="I58" i="4"/>
  <c r="F58" i="4"/>
  <c r="G57" i="4"/>
  <c r="H57" i="4"/>
  <c r="I57" i="4"/>
  <c r="F57" i="4"/>
  <c r="G30" i="4"/>
  <c r="H30" i="4"/>
  <c r="I30" i="4"/>
  <c r="F30" i="4"/>
  <c r="G16" i="4"/>
  <c r="H16" i="4"/>
  <c r="I16" i="4"/>
  <c r="F16" i="4"/>
  <c r="K19" i="45" l="1"/>
  <c r="K20" i="45" s="1"/>
  <c r="J30" i="4"/>
  <c r="J57" i="4"/>
  <c r="J58" i="4"/>
  <c r="J61" i="4"/>
  <c r="J138" i="4"/>
  <c r="J203" i="4"/>
  <c r="J242" i="4"/>
  <c r="J246" i="4"/>
  <c r="J249" i="4"/>
  <c r="J265" i="4"/>
  <c r="J331" i="4"/>
  <c r="J342" i="4"/>
  <c r="J132" i="4"/>
  <c r="J16" i="4"/>
  <c r="G484" i="7"/>
  <c r="G201" i="7" l="1"/>
  <c r="G68" i="7"/>
  <c r="G59" i="7"/>
  <c r="K6" i="7" l="1"/>
  <c r="K7" i="7"/>
  <c r="K10" i="7"/>
  <c r="K11" i="7"/>
  <c r="K12" i="7"/>
  <c r="K13" i="7"/>
  <c r="K14" i="7"/>
  <c r="K16" i="7"/>
  <c r="K18" i="7"/>
  <c r="K19" i="7"/>
  <c r="K20" i="7"/>
  <c r="K23" i="7"/>
  <c r="K24" i="7"/>
  <c r="K27" i="7"/>
  <c r="K28" i="7"/>
  <c r="K30" i="7"/>
  <c r="K33" i="7"/>
  <c r="K34" i="7"/>
  <c r="K37" i="7"/>
  <c r="K38" i="7"/>
  <c r="K40" i="7"/>
  <c r="K43" i="7"/>
  <c r="K44" i="7"/>
  <c r="K45" i="7"/>
  <c r="K46" i="7"/>
  <c r="K49" i="7"/>
  <c r="K50" i="7"/>
  <c r="K51" i="7"/>
  <c r="K54" i="7"/>
  <c r="K55" i="7"/>
  <c r="K56" i="7"/>
  <c r="K58" i="7"/>
  <c r="K61" i="7"/>
  <c r="K62" i="7"/>
  <c r="K63" i="7"/>
  <c r="K64" i="7"/>
  <c r="K66" i="7"/>
  <c r="K67" i="7"/>
  <c r="K70" i="7"/>
  <c r="K71" i="7"/>
  <c r="K72" i="7"/>
  <c r="K73" i="7"/>
  <c r="K75" i="7"/>
  <c r="K76" i="7"/>
  <c r="K78" i="7"/>
  <c r="K79" i="7"/>
  <c r="K81" i="7"/>
  <c r="K82" i="7"/>
  <c r="K83" i="7"/>
  <c r="K85" i="7"/>
  <c r="K88" i="7"/>
  <c r="K89" i="7"/>
  <c r="K90" i="7"/>
  <c r="K92" i="7"/>
  <c r="K93" i="7"/>
  <c r="K94" i="7"/>
  <c r="K97" i="7"/>
  <c r="K98" i="7"/>
  <c r="K99" i="7"/>
  <c r="K102" i="7"/>
  <c r="K103" i="7"/>
  <c r="K104" i="7"/>
  <c r="K105" i="7"/>
  <c r="K107" i="7"/>
  <c r="K108" i="7"/>
  <c r="K109" i="7"/>
  <c r="K111" i="7"/>
  <c r="K114" i="7"/>
  <c r="K115" i="7"/>
  <c r="K118" i="7"/>
  <c r="K119" i="7"/>
  <c r="K120" i="7"/>
  <c r="K121" i="7"/>
  <c r="K123" i="7"/>
  <c r="K124" i="7"/>
  <c r="K125" i="7"/>
  <c r="K128" i="7"/>
  <c r="K129" i="7"/>
  <c r="K130" i="7"/>
  <c r="K133" i="7"/>
  <c r="K134" i="7"/>
  <c r="K137" i="7"/>
  <c r="K138" i="7"/>
  <c r="K139" i="7"/>
  <c r="K140" i="7"/>
  <c r="K142" i="7"/>
  <c r="K145" i="7"/>
  <c r="K146" i="7"/>
  <c r="K148" i="7"/>
  <c r="K149" i="7"/>
  <c r="K152" i="7"/>
  <c r="K153" i="7"/>
  <c r="K155" i="7"/>
  <c r="K156" i="7"/>
  <c r="K157" i="7"/>
  <c r="K158" i="7"/>
  <c r="K159" i="7"/>
  <c r="K160" i="7"/>
  <c r="K161" i="7"/>
  <c r="K162" i="7"/>
  <c r="K163" i="7"/>
  <c r="K164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2" i="7"/>
  <c r="K183" i="7"/>
  <c r="K184" i="7"/>
  <c r="K187" i="7"/>
  <c r="K188" i="7"/>
  <c r="K189" i="7"/>
  <c r="K190" i="7"/>
  <c r="K191" i="7"/>
  <c r="K192" i="7"/>
  <c r="K193" i="7"/>
  <c r="K195" i="7"/>
  <c r="K196" i="7"/>
  <c r="K197" i="7"/>
  <c r="K198" i="7"/>
  <c r="K199" i="7"/>
  <c r="K200" i="7"/>
  <c r="K203" i="7"/>
  <c r="K204" i="7"/>
  <c r="K205" i="7"/>
  <c r="K206" i="7"/>
  <c r="K208" i="7"/>
  <c r="K211" i="7"/>
  <c r="K212" i="7"/>
  <c r="K213" i="7"/>
  <c r="K216" i="7"/>
  <c r="K217" i="7"/>
  <c r="K220" i="7"/>
  <c r="K223" i="7"/>
  <c r="K224" i="7"/>
  <c r="K227" i="7"/>
  <c r="K230" i="7"/>
  <c r="K231" i="7"/>
  <c r="K233" i="7"/>
  <c r="K234" i="7"/>
  <c r="K235" i="7"/>
  <c r="K238" i="7"/>
  <c r="K239" i="7"/>
  <c r="K242" i="7"/>
  <c r="K243" i="7"/>
  <c r="K246" i="7"/>
  <c r="K247" i="7"/>
  <c r="K250" i="7"/>
  <c r="K251" i="7"/>
  <c r="K253" i="7"/>
  <c r="K254" i="7"/>
  <c r="K256" i="7"/>
  <c r="K257" i="7"/>
  <c r="K260" i="7"/>
  <c r="K261" i="7"/>
  <c r="K262" i="7"/>
  <c r="K263" i="7"/>
  <c r="K264" i="7"/>
  <c r="K265" i="7"/>
  <c r="K267" i="7"/>
  <c r="K269" i="7"/>
  <c r="K270" i="7"/>
  <c r="K273" i="7"/>
  <c r="K274" i="7"/>
  <c r="K275" i="7"/>
  <c r="K278" i="7"/>
  <c r="K279" i="7"/>
  <c r="K281" i="7"/>
  <c r="K282" i="7"/>
  <c r="K284" i="7"/>
  <c r="K287" i="7"/>
  <c r="K288" i="7"/>
  <c r="K289" i="7"/>
  <c r="K290" i="7"/>
  <c r="K291" i="7"/>
  <c r="K292" i="7"/>
  <c r="K293" i="7"/>
  <c r="K294" i="7"/>
  <c r="K295" i="7"/>
  <c r="K296" i="7"/>
  <c r="K297" i="7"/>
  <c r="K299" i="7"/>
  <c r="K300" i="7"/>
  <c r="K301" i="7"/>
  <c r="K302" i="7"/>
  <c r="K303" i="7"/>
  <c r="K304" i="7"/>
  <c r="K305" i="7"/>
  <c r="K306" i="7"/>
  <c r="K307" i="7"/>
  <c r="K308" i="7"/>
  <c r="K311" i="7"/>
  <c r="K312" i="7"/>
  <c r="K313" i="7"/>
  <c r="K314" i="7"/>
  <c r="K315" i="7"/>
  <c r="K316" i="7"/>
  <c r="K317" i="7"/>
  <c r="K319" i="7"/>
  <c r="K320" i="7"/>
  <c r="K321" i="7"/>
  <c r="K322" i="7"/>
  <c r="K323" i="7"/>
  <c r="K324" i="7"/>
  <c r="K325" i="7"/>
  <c r="K328" i="7"/>
  <c r="K329" i="7"/>
  <c r="K330" i="7"/>
  <c r="K333" i="7"/>
  <c r="K334" i="7"/>
  <c r="K337" i="7"/>
  <c r="K338" i="7"/>
  <c r="K341" i="7"/>
  <c r="K342" i="7"/>
  <c r="K343" i="7"/>
  <c r="K346" i="7"/>
  <c r="K347" i="7"/>
  <c r="K348" i="7"/>
  <c r="K350" i="7"/>
  <c r="K353" i="7"/>
  <c r="K356" i="7"/>
  <c r="K357" i="7"/>
  <c r="K359" i="7"/>
  <c r="K360" i="7"/>
  <c r="K363" i="7"/>
  <c r="K364" i="7"/>
  <c r="K365" i="7"/>
  <c r="K366" i="7"/>
  <c r="K367" i="7"/>
  <c r="K368" i="7"/>
  <c r="K369" i="7"/>
  <c r="K370" i="7"/>
  <c r="K372" i="7"/>
  <c r="K373" i="7"/>
  <c r="K374" i="7"/>
  <c r="K377" i="7"/>
  <c r="K378" i="7"/>
  <c r="K379" i="7"/>
  <c r="K380" i="7"/>
  <c r="K381" i="7"/>
  <c r="K382" i="7"/>
  <c r="K385" i="7"/>
  <c r="K386" i="7"/>
  <c r="K387" i="7"/>
  <c r="K388" i="7"/>
  <c r="K389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31" i="7"/>
  <c r="K433" i="7"/>
  <c r="K435" i="7"/>
  <c r="K443" i="7"/>
  <c r="K445" i="7"/>
  <c r="G84" i="7" l="1"/>
  <c r="H84" i="7"/>
  <c r="I84" i="7"/>
  <c r="J84" i="7"/>
  <c r="K84" i="7" l="1"/>
  <c r="C16" i="8"/>
  <c r="B40" i="11" l="1"/>
  <c r="B41" i="11"/>
  <c r="B39" i="11"/>
  <c r="B42" i="11"/>
  <c r="B98" i="12"/>
  <c r="B99" i="12"/>
  <c r="B100" i="12"/>
  <c r="B97" i="12"/>
  <c r="B117" i="13"/>
  <c r="B118" i="13"/>
  <c r="B144" i="13"/>
  <c r="B145" i="13"/>
  <c r="B146" i="13"/>
  <c r="B147" i="13"/>
  <c r="B148" i="13"/>
  <c r="B149" i="13"/>
  <c r="B150" i="13"/>
  <c r="B151" i="13"/>
  <c r="B143" i="13"/>
  <c r="C143" i="13"/>
  <c r="B231" i="14"/>
  <c r="B232" i="14"/>
  <c r="B233" i="14"/>
  <c r="I347" i="4"/>
  <c r="E15" i="8" l="1"/>
  <c r="G371" i="7"/>
  <c r="H371" i="7"/>
  <c r="I371" i="7"/>
  <c r="J371" i="7"/>
  <c r="G126" i="7"/>
  <c r="H126" i="7"/>
  <c r="I126" i="7"/>
  <c r="J126" i="7"/>
  <c r="K126" i="7" l="1"/>
  <c r="K371" i="7"/>
  <c r="H383" i="4" l="1"/>
  <c r="H372" i="4"/>
  <c r="G372" i="4"/>
  <c r="F199" i="6"/>
  <c r="G199" i="6"/>
  <c r="I199" i="6" l="1"/>
  <c r="H199" i="6"/>
  <c r="C89" i="14"/>
  <c r="F150" i="4"/>
  <c r="B160" i="14" l="1"/>
  <c r="C168" i="14" l="1"/>
  <c r="H29" i="7" l="1"/>
  <c r="I29" i="7"/>
  <c r="J29" i="7"/>
  <c r="G29" i="7"/>
  <c r="G318" i="7"/>
  <c r="G326" i="7"/>
  <c r="G344" i="7"/>
  <c r="K29" i="7" l="1"/>
  <c r="E360" i="4" l="1"/>
  <c r="B162" i="14" l="1"/>
  <c r="G109" i="4"/>
  <c r="H109" i="4"/>
  <c r="I109" i="4"/>
  <c r="F109" i="4"/>
  <c r="G358" i="7"/>
  <c r="J109" i="4" l="1"/>
  <c r="G25" i="7"/>
  <c r="G26" i="7" s="1"/>
  <c r="H25" i="7"/>
  <c r="H26" i="7" s="1"/>
  <c r="I25" i="7"/>
  <c r="I26" i="7" s="1"/>
  <c r="J25" i="7"/>
  <c r="J26" i="7" s="1"/>
  <c r="G475" i="7"/>
  <c r="H475" i="7"/>
  <c r="I475" i="7"/>
  <c r="J475" i="7"/>
  <c r="K25" i="7" l="1"/>
  <c r="K26" i="7" l="1"/>
  <c r="C84" i="12"/>
  <c r="B55" i="14"/>
  <c r="C144" i="13"/>
  <c r="C145" i="13"/>
  <c r="C146" i="13"/>
  <c r="C147" i="13"/>
  <c r="C148" i="13"/>
  <c r="C149" i="13"/>
  <c r="C150" i="13"/>
  <c r="C151" i="13"/>
  <c r="C140" i="13"/>
  <c r="C137" i="13"/>
  <c r="H395" i="4"/>
  <c r="F347" i="4" l="1"/>
  <c r="H361" i="4"/>
  <c r="G361" i="4"/>
  <c r="M18" i="8" l="1"/>
  <c r="J361" i="4"/>
  <c r="E392" i="4"/>
  <c r="C258" i="14" s="1"/>
  <c r="F379" i="4"/>
  <c r="E380" i="4"/>
  <c r="C248" i="14" s="1"/>
  <c r="E381" i="4"/>
  <c r="C249" i="14" s="1"/>
  <c r="E382" i="4"/>
  <c r="C250" i="14" s="1"/>
  <c r="E383" i="4"/>
  <c r="C251" i="14" s="1"/>
  <c r="E384" i="4"/>
  <c r="C252" i="14" s="1"/>
  <c r="E385" i="4"/>
  <c r="C253" i="14" s="1"/>
  <c r="E386" i="4"/>
  <c r="C254" i="14" s="1"/>
  <c r="E387" i="4"/>
  <c r="C255" i="14" s="1"/>
  <c r="E379" i="4"/>
  <c r="C247" i="14" s="1"/>
  <c r="E371" i="4"/>
  <c r="C241" i="14" s="1"/>
  <c r="E372" i="4"/>
  <c r="C242" i="14" s="1"/>
  <c r="E373" i="4"/>
  <c r="C243" i="14" s="1"/>
  <c r="E374" i="4"/>
  <c r="C244" i="14" s="1"/>
  <c r="E375" i="4"/>
  <c r="C245" i="14" s="1"/>
  <c r="E376" i="4"/>
  <c r="C246" i="14" s="1"/>
  <c r="E370" i="4"/>
  <c r="C240" i="14" s="1"/>
  <c r="E393" i="4"/>
  <c r="C259" i="14" s="1"/>
  <c r="F393" i="4"/>
  <c r="F392" i="4"/>
  <c r="D258" i="14" s="1"/>
  <c r="F12" i="6"/>
  <c r="G12" i="6"/>
  <c r="F361" i="4"/>
  <c r="E361" i="4"/>
  <c r="G392" i="4"/>
  <c r="H392" i="4"/>
  <c r="I392" i="4"/>
  <c r="G393" i="4"/>
  <c r="H393" i="4"/>
  <c r="I393" i="4"/>
  <c r="G394" i="4"/>
  <c r="H394" i="4"/>
  <c r="I394" i="4"/>
  <c r="G395" i="4"/>
  <c r="I395" i="4"/>
  <c r="G396" i="4"/>
  <c r="H396" i="4"/>
  <c r="I396" i="4"/>
  <c r="G397" i="4"/>
  <c r="H397" i="4"/>
  <c r="I397" i="4"/>
  <c r="G398" i="4"/>
  <c r="H398" i="4"/>
  <c r="I398" i="4"/>
  <c r="G399" i="4"/>
  <c r="H399" i="4"/>
  <c r="I399" i="4"/>
  <c r="G400" i="4"/>
  <c r="H400" i="4"/>
  <c r="I400" i="4"/>
  <c r="I12" i="6" l="1"/>
  <c r="H12" i="6"/>
  <c r="D40" i="14"/>
  <c r="F137" i="4"/>
  <c r="F243" i="4"/>
  <c r="F131" i="4"/>
  <c r="F189" i="4"/>
  <c r="F194" i="4"/>
  <c r="F195" i="4" s="1"/>
  <c r="F205" i="4"/>
  <c r="F201" i="4"/>
  <c r="F202" i="4"/>
  <c r="F279" i="4"/>
  <c r="H446" i="7"/>
  <c r="J446" i="7"/>
  <c r="H407" i="7"/>
  <c r="I407" i="7"/>
  <c r="J407" i="7"/>
  <c r="G407" i="7"/>
  <c r="H209" i="7"/>
  <c r="I209" i="7"/>
  <c r="J209" i="7"/>
  <c r="G209" i="7"/>
  <c r="G110" i="7"/>
  <c r="H95" i="7"/>
  <c r="I95" i="7"/>
  <c r="J95" i="7"/>
  <c r="G95" i="7"/>
  <c r="H77" i="7"/>
  <c r="I77" i="7"/>
  <c r="J77" i="7"/>
  <c r="G77" i="7"/>
  <c r="H68" i="7"/>
  <c r="I68" i="7"/>
  <c r="J68" i="7"/>
  <c r="H59" i="7"/>
  <c r="I59" i="7"/>
  <c r="J59" i="7"/>
  <c r="F323" i="4"/>
  <c r="L445" i="7" l="1"/>
  <c r="L442" i="7"/>
  <c r="L443" i="7"/>
  <c r="K209" i="7"/>
  <c r="K59" i="7"/>
  <c r="K68" i="7"/>
  <c r="K77" i="7"/>
  <c r="K95" i="7"/>
  <c r="K407" i="7"/>
  <c r="F266" i="4"/>
  <c r="H110" i="7"/>
  <c r="I110" i="7"/>
  <c r="J110" i="7"/>
  <c r="G86" i="7"/>
  <c r="G87" i="7" s="1"/>
  <c r="G52" i="7"/>
  <c r="G53" i="7" s="1"/>
  <c r="K110" i="7" l="1"/>
  <c r="G87" i="4"/>
  <c r="H87" i="4"/>
  <c r="I87" i="4"/>
  <c r="G7" i="4"/>
  <c r="H7" i="4"/>
  <c r="I7" i="4"/>
  <c r="G8" i="4"/>
  <c r="H8" i="4"/>
  <c r="I8" i="4"/>
  <c r="G9" i="4"/>
  <c r="H9" i="4"/>
  <c r="I9" i="4"/>
  <c r="G10" i="4"/>
  <c r="H10" i="4"/>
  <c r="I10" i="4"/>
  <c r="G11" i="4"/>
  <c r="H11" i="4"/>
  <c r="I11" i="4"/>
  <c r="G12" i="4"/>
  <c r="H12" i="4"/>
  <c r="I12" i="4"/>
  <c r="G13" i="4"/>
  <c r="H13" i="4"/>
  <c r="I13" i="4"/>
  <c r="G17" i="4"/>
  <c r="H17" i="4"/>
  <c r="I17" i="4"/>
  <c r="G18" i="4"/>
  <c r="H18" i="4"/>
  <c r="I18" i="4"/>
  <c r="G19" i="4"/>
  <c r="H19" i="4"/>
  <c r="I19" i="4"/>
  <c r="G22" i="4"/>
  <c r="H22" i="4"/>
  <c r="I22" i="4"/>
  <c r="G23" i="4"/>
  <c r="H23" i="4"/>
  <c r="I23" i="4"/>
  <c r="G24" i="4"/>
  <c r="H24" i="4"/>
  <c r="I24" i="4"/>
  <c r="G25" i="4"/>
  <c r="H25" i="4"/>
  <c r="I25" i="4"/>
  <c r="G28" i="4"/>
  <c r="H28" i="4"/>
  <c r="I28" i="4"/>
  <c r="G29" i="4"/>
  <c r="H29" i="4"/>
  <c r="I29" i="4"/>
  <c r="G35" i="4"/>
  <c r="H35" i="4"/>
  <c r="I35" i="4"/>
  <c r="G38" i="4"/>
  <c r="H38" i="4"/>
  <c r="I38" i="4"/>
  <c r="G41" i="4"/>
  <c r="H41" i="4"/>
  <c r="I41" i="4"/>
  <c r="G44" i="4"/>
  <c r="H44" i="4"/>
  <c r="I44" i="4"/>
  <c r="G47" i="4"/>
  <c r="H47" i="4"/>
  <c r="I47" i="4"/>
  <c r="G52" i="4"/>
  <c r="H52" i="4"/>
  <c r="I52" i="4"/>
  <c r="G53" i="4"/>
  <c r="H53" i="4"/>
  <c r="I53" i="4"/>
  <c r="G54" i="4"/>
  <c r="H54" i="4"/>
  <c r="I54" i="4"/>
  <c r="G59" i="4"/>
  <c r="H59" i="4"/>
  <c r="I59" i="4"/>
  <c r="G60" i="4"/>
  <c r="H60" i="4"/>
  <c r="I60" i="4"/>
  <c r="G64" i="4"/>
  <c r="H64" i="4"/>
  <c r="I64" i="4"/>
  <c r="G67" i="4"/>
  <c r="H67" i="4"/>
  <c r="G68" i="4"/>
  <c r="H68" i="4"/>
  <c r="G69" i="4"/>
  <c r="H69" i="4"/>
  <c r="I69" i="4"/>
  <c r="G72" i="4"/>
  <c r="H72" i="4"/>
  <c r="I72" i="4"/>
  <c r="G73" i="4"/>
  <c r="H73" i="4"/>
  <c r="I73" i="4"/>
  <c r="G74" i="4"/>
  <c r="H74" i="4"/>
  <c r="I74" i="4"/>
  <c r="G77" i="4"/>
  <c r="H77" i="4"/>
  <c r="I77" i="4"/>
  <c r="G78" i="4"/>
  <c r="H78" i="4"/>
  <c r="I78" i="4"/>
  <c r="G81" i="4"/>
  <c r="H81" i="4"/>
  <c r="I81" i="4"/>
  <c r="G86" i="4"/>
  <c r="H86" i="4"/>
  <c r="I86" i="4"/>
  <c r="G88" i="4"/>
  <c r="H88" i="4"/>
  <c r="I88" i="4"/>
  <c r="G89" i="4"/>
  <c r="H89" i="4"/>
  <c r="I89" i="4"/>
  <c r="G90" i="4"/>
  <c r="H90" i="4"/>
  <c r="I90" i="4"/>
  <c r="G93" i="4"/>
  <c r="H93" i="4"/>
  <c r="I93" i="4"/>
  <c r="G96" i="4"/>
  <c r="H96" i="4"/>
  <c r="I96" i="4"/>
  <c r="G99" i="4"/>
  <c r="H99" i="4"/>
  <c r="I99" i="4"/>
  <c r="G102" i="4"/>
  <c r="H102" i="4"/>
  <c r="I102" i="4"/>
  <c r="G103" i="4"/>
  <c r="H103" i="4"/>
  <c r="I103" i="4"/>
  <c r="G106" i="4"/>
  <c r="H106" i="4"/>
  <c r="I106" i="4"/>
  <c r="I107" i="4" s="1"/>
  <c r="G112" i="4"/>
  <c r="H112" i="4"/>
  <c r="I112" i="4"/>
  <c r="G117" i="4"/>
  <c r="H117" i="4"/>
  <c r="I117" i="4"/>
  <c r="G118" i="4"/>
  <c r="H118" i="4"/>
  <c r="I118" i="4"/>
  <c r="G119" i="4"/>
  <c r="H119" i="4"/>
  <c r="I119" i="4"/>
  <c r="G120" i="4"/>
  <c r="H120" i="4"/>
  <c r="I120" i="4"/>
  <c r="G121" i="4"/>
  <c r="H121" i="4"/>
  <c r="I121" i="4"/>
  <c r="G122" i="4"/>
  <c r="H122" i="4"/>
  <c r="I122" i="4"/>
  <c r="G123" i="4"/>
  <c r="H123" i="4"/>
  <c r="I123" i="4"/>
  <c r="G126" i="4"/>
  <c r="H126" i="4"/>
  <c r="I126" i="4"/>
  <c r="G127" i="4"/>
  <c r="H127" i="4"/>
  <c r="I127" i="4"/>
  <c r="G128" i="4"/>
  <c r="H128" i="4"/>
  <c r="I128" i="4"/>
  <c r="G131" i="4"/>
  <c r="H131" i="4"/>
  <c r="I131" i="4"/>
  <c r="G133" i="4"/>
  <c r="H133" i="4"/>
  <c r="I133" i="4"/>
  <c r="G136" i="4"/>
  <c r="H136" i="4"/>
  <c r="I136" i="4"/>
  <c r="G137" i="4"/>
  <c r="H137" i="4"/>
  <c r="I137" i="4"/>
  <c r="G141" i="4"/>
  <c r="H141" i="4"/>
  <c r="I141" i="4"/>
  <c r="G142" i="4"/>
  <c r="H142" i="4"/>
  <c r="I142" i="4"/>
  <c r="G145" i="4"/>
  <c r="H145" i="4"/>
  <c r="I145" i="4"/>
  <c r="G146" i="4"/>
  <c r="H146" i="4"/>
  <c r="I146" i="4"/>
  <c r="G147" i="4"/>
  <c r="H147" i="4"/>
  <c r="I147" i="4"/>
  <c r="G150" i="4"/>
  <c r="H150" i="4"/>
  <c r="I150" i="4"/>
  <c r="G151" i="4"/>
  <c r="H151" i="4"/>
  <c r="I151" i="4"/>
  <c r="G156" i="4"/>
  <c r="H156" i="4"/>
  <c r="I156" i="4"/>
  <c r="G157" i="4"/>
  <c r="H157" i="4"/>
  <c r="I157" i="4"/>
  <c r="G158" i="4"/>
  <c r="H158" i="4"/>
  <c r="I158" i="4"/>
  <c r="G159" i="4"/>
  <c r="H159" i="4"/>
  <c r="I159" i="4"/>
  <c r="G160" i="4"/>
  <c r="H160" i="4"/>
  <c r="I160" i="4"/>
  <c r="G161" i="4"/>
  <c r="H161" i="4"/>
  <c r="I161" i="4"/>
  <c r="G162" i="4"/>
  <c r="H162" i="4"/>
  <c r="I162" i="4"/>
  <c r="G165" i="4"/>
  <c r="H165" i="4"/>
  <c r="I165" i="4"/>
  <c r="G166" i="4"/>
  <c r="H166" i="4"/>
  <c r="I166" i="4"/>
  <c r="G167" i="4"/>
  <c r="H167" i="4"/>
  <c r="I167" i="4"/>
  <c r="G168" i="4"/>
  <c r="H168" i="4"/>
  <c r="I168" i="4"/>
  <c r="G171" i="4"/>
  <c r="H171" i="4"/>
  <c r="I171" i="4"/>
  <c r="G172" i="4"/>
  <c r="H172" i="4"/>
  <c r="I172" i="4"/>
  <c r="G173" i="4"/>
  <c r="H173" i="4"/>
  <c r="I173" i="4"/>
  <c r="G174" i="4"/>
  <c r="H174" i="4"/>
  <c r="I174" i="4"/>
  <c r="G175" i="4"/>
  <c r="H175" i="4"/>
  <c r="I175" i="4"/>
  <c r="G176" i="4"/>
  <c r="H176" i="4"/>
  <c r="I176" i="4"/>
  <c r="G177" i="4"/>
  <c r="H177" i="4"/>
  <c r="I177" i="4"/>
  <c r="G178" i="4"/>
  <c r="H178" i="4"/>
  <c r="I178" i="4"/>
  <c r="G179" i="4"/>
  <c r="H179" i="4"/>
  <c r="I179" i="4"/>
  <c r="G184" i="4"/>
  <c r="H184" i="4"/>
  <c r="I184" i="4"/>
  <c r="G189" i="4"/>
  <c r="H189" i="4"/>
  <c r="I189" i="4"/>
  <c r="G194" i="4"/>
  <c r="G195" i="4" s="1"/>
  <c r="H194" i="4"/>
  <c r="I194" i="4"/>
  <c r="I195" i="4" s="1"/>
  <c r="G201" i="4"/>
  <c r="H201" i="4"/>
  <c r="I201" i="4"/>
  <c r="G202" i="4"/>
  <c r="H202" i="4"/>
  <c r="I202" i="4"/>
  <c r="G204" i="4"/>
  <c r="H204" i="4"/>
  <c r="I204" i="4"/>
  <c r="G205" i="4"/>
  <c r="H205" i="4"/>
  <c r="I205" i="4"/>
  <c r="G206" i="4"/>
  <c r="H206" i="4"/>
  <c r="I206" i="4"/>
  <c r="G209" i="4"/>
  <c r="H209" i="4"/>
  <c r="I209" i="4"/>
  <c r="G214" i="4"/>
  <c r="H214" i="4"/>
  <c r="I214" i="4"/>
  <c r="G215" i="4"/>
  <c r="H215" i="4"/>
  <c r="I215" i="4"/>
  <c r="G220" i="4"/>
  <c r="H220" i="4"/>
  <c r="I220" i="4"/>
  <c r="G221" i="4"/>
  <c r="H221" i="4"/>
  <c r="I221" i="4"/>
  <c r="G222" i="4"/>
  <c r="H222" i="4"/>
  <c r="I222" i="4"/>
  <c r="G223" i="4"/>
  <c r="H223" i="4"/>
  <c r="I223" i="4"/>
  <c r="G228" i="4"/>
  <c r="H228" i="4"/>
  <c r="I228" i="4"/>
  <c r="G229" i="4"/>
  <c r="H229" i="4"/>
  <c r="I229" i="4"/>
  <c r="G230" i="4"/>
  <c r="H230" i="4"/>
  <c r="I230" i="4"/>
  <c r="G231" i="4"/>
  <c r="H231" i="4"/>
  <c r="I231" i="4"/>
  <c r="G232" i="4"/>
  <c r="H232" i="4"/>
  <c r="I232" i="4"/>
  <c r="G237" i="4"/>
  <c r="H237" i="4"/>
  <c r="I237" i="4"/>
  <c r="G243" i="4"/>
  <c r="H243" i="4"/>
  <c r="I243" i="4"/>
  <c r="G254" i="4"/>
  <c r="H254" i="4"/>
  <c r="I254" i="4"/>
  <c r="G255" i="4"/>
  <c r="H255" i="4"/>
  <c r="I255" i="4"/>
  <c r="G262" i="4"/>
  <c r="H262" i="4"/>
  <c r="I262" i="4"/>
  <c r="G266" i="4"/>
  <c r="H266" i="4"/>
  <c r="I266" i="4"/>
  <c r="G272" i="4"/>
  <c r="H272" i="4"/>
  <c r="I272" i="4"/>
  <c r="G273" i="4"/>
  <c r="H273" i="4"/>
  <c r="I273" i="4"/>
  <c r="G274" i="4"/>
  <c r="H274" i="4"/>
  <c r="I274" i="4"/>
  <c r="G275" i="4"/>
  <c r="H275" i="4"/>
  <c r="I275" i="4"/>
  <c r="G278" i="4"/>
  <c r="H278" i="4"/>
  <c r="I278" i="4"/>
  <c r="G279" i="4"/>
  <c r="H279" i="4"/>
  <c r="I279" i="4"/>
  <c r="G284" i="4"/>
  <c r="H284" i="4"/>
  <c r="I284" i="4"/>
  <c r="G285" i="4"/>
  <c r="H285" i="4"/>
  <c r="I285" i="4"/>
  <c r="G286" i="4"/>
  <c r="H286" i="4"/>
  <c r="I286" i="4"/>
  <c r="G287" i="4"/>
  <c r="H287" i="4"/>
  <c r="I287" i="4"/>
  <c r="G288" i="4"/>
  <c r="E185" i="14" s="1"/>
  <c r="H288" i="4"/>
  <c r="I288" i="4"/>
  <c r="G291" i="4"/>
  <c r="H291" i="4"/>
  <c r="I291" i="4"/>
  <c r="G292" i="4"/>
  <c r="H292" i="4"/>
  <c r="I292" i="4"/>
  <c r="G293" i="4"/>
  <c r="H293" i="4"/>
  <c r="I293" i="4"/>
  <c r="G294" i="4"/>
  <c r="H294" i="4"/>
  <c r="I294" i="4"/>
  <c r="G295" i="4"/>
  <c r="H295" i="4"/>
  <c r="I295" i="4"/>
  <c r="G298" i="4"/>
  <c r="H298" i="4"/>
  <c r="I298" i="4"/>
  <c r="G299" i="4"/>
  <c r="H299" i="4"/>
  <c r="I299" i="4"/>
  <c r="G304" i="4"/>
  <c r="H304" i="4"/>
  <c r="I304" i="4"/>
  <c r="G305" i="4"/>
  <c r="H305" i="4"/>
  <c r="I305" i="4"/>
  <c r="G308" i="4"/>
  <c r="H308" i="4"/>
  <c r="I308" i="4"/>
  <c r="G309" i="4"/>
  <c r="H309" i="4"/>
  <c r="I309" i="4"/>
  <c r="G310" i="4"/>
  <c r="H310" i="4"/>
  <c r="I310" i="4"/>
  <c r="G311" i="4"/>
  <c r="H311" i="4"/>
  <c r="I311" i="4"/>
  <c r="G312" i="4"/>
  <c r="H312" i="4"/>
  <c r="I312" i="4"/>
  <c r="G313" i="4"/>
  <c r="H313" i="4"/>
  <c r="I313" i="4"/>
  <c r="G316" i="4"/>
  <c r="H316" i="4"/>
  <c r="I316" i="4"/>
  <c r="G317" i="4"/>
  <c r="H317" i="4"/>
  <c r="I317" i="4"/>
  <c r="G322" i="4"/>
  <c r="H322" i="4"/>
  <c r="I322" i="4"/>
  <c r="G323" i="4"/>
  <c r="H323" i="4"/>
  <c r="I323" i="4"/>
  <c r="G326" i="4"/>
  <c r="H326" i="4"/>
  <c r="I326" i="4"/>
  <c r="G334" i="4"/>
  <c r="H334" i="4"/>
  <c r="I334" i="4"/>
  <c r="G335" i="4"/>
  <c r="H335" i="4"/>
  <c r="I335" i="4"/>
  <c r="G336" i="4"/>
  <c r="H336" i="4"/>
  <c r="I336" i="4"/>
  <c r="G337" i="4"/>
  <c r="H337" i="4"/>
  <c r="I337" i="4"/>
  <c r="G338" i="4"/>
  <c r="H338" i="4"/>
  <c r="I338" i="4"/>
  <c r="G339" i="4"/>
  <c r="H339" i="4"/>
  <c r="I339" i="4"/>
  <c r="G347" i="4"/>
  <c r="H347" i="4"/>
  <c r="G358" i="4"/>
  <c r="H358" i="4"/>
  <c r="I358" i="4"/>
  <c r="G359" i="4"/>
  <c r="H359" i="4"/>
  <c r="I359" i="4"/>
  <c r="G360" i="4"/>
  <c r="I360" i="4"/>
  <c r="I361" i="4"/>
  <c r="G370" i="4"/>
  <c r="H370" i="4"/>
  <c r="I370" i="4"/>
  <c r="G371" i="4"/>
  <c r="H371" i="4"/>
  <c r="I371" i="4"/>
  <c r="I372" i="4"/>
  <c r="G373" i="4"/>
  <c r="H373" i="4"/>
  <c r="I373" i="4"/>
  <c r="G374" i="4"/>
  <c r="H374" i="4"/>
  <c r="I374" i="4"/>
  <c r="G375" i="4"/>
  <c r="H375" i="4"/>
  <c r="I375" i="4"/>
  <c r="G376" i="4"/>
  <c r="H376" i="4"/>
  <c r="I376" i="4"/>
  <c r="G379" i="4"/>
  <c r="H379" i="4"/>
  <c r="I379" i="4"/>
  <c r="G380" i="4"/>
  <c r="H380" i="4"/>
  <c r="I380" i="4"/>
  <c r="G381" i="4"/>
  <c r="H381" i="4"/>
  <c r="I381" i="4"/>
  <c r="G382" i="4"/>
  <c r="H382" i="4"/>
  <c r="I382" i="4"/>
  <c r="G383" i="4"/>
  <c r="I383" i="4"/>
  <c r="G384" i="4"/>
  <c r="H384" i="4"/>
  <c r="I384" i="4"/>
  <c r="G385" i="4"/>
  <c r="H385" i="4"/>
  <c r="I385" i="4"/>
  <c r="G386" i="4"/>
  <c r="H386" i="4"/>
  <c r="I386" i="4"/>
  <c r="G387" i="4"/>
  <c r="H387" i="4"/>
  <c r="I387" i="4"/>
  <c r="F394" i="4"/>
  <c r="F395" i="4"/>
  <c r="F396" i="4"/>
  <c r="F397" i="4"/>
  <c r="F398" i="4"/>
  <c r="F399" i="4"/>
  <c r="F400" i="4"/>
  <c r="E394" i="4"/>
  <c r="C260" i="14" s="1"/>
  <c r="E395" i="4"/>
  <c r="C261" i="14" s="1"/>
  <c r="E396" i="4"/>
  <c r="C262" i="14" s="1"/>
  <c r="E397" i="4"/>
  <c r="C263" i="14" s="1"/>
  <c r="E398" i="4"/>
  <c r="C264" i="14" s="1"/>
  <c r="E399" i="4"/>
  <c r="C265" i="14" s="1"/>
  <c r="E400" i="4"/>
  <c r="C266" i="14" s="1"/>
  <c r="D393" i="4"/>
  <c r="B259" i="14" s="1"/>
  <c r="D394" i="4"/>
  <c r="B260" i="14" s="1"/>
  <c r="D395" i="4"/>
  <c r="B261" i="14" s="1"/>
  <c r="D396" i="4"/>
  <c r="B262" i="14" s="1"/>
  <c r="D397" i="4"/>
  <c r="B263" i="14" s="1"/>
  <c r="D398" i="4"/>
  <c r="B264" i="14" s="1"/>
  <c r="D399" i="4"/>
  <c r="B265" i="14" s="1"/>
  <c r="D400" i="4"/>
  <c r="B266" i="14" s="1"/>
  <c r="D392" i="4"/>
  <c r="B258" i="14" s="1"/>
  <c r="D387" i="4"/>
  <c r="B255" i="14" s="1"/>
  <c r="F359" i="4"/>
  <c r="F360" i="4"/>
  <c r="F358" i="4"/>
  <c r="E359" i="4"/>
  <c r="E358" i="4"/>
  <c r="C97" i="12" s="1"/>
  <c r="F338" i="4"/>
  <c r="F337" i="4"/>
  <c r="F336" i="4"/>
  <c r="F335" i="4"/>
  <c r="F334" i="4"/>
  <c r="F310" i="4"/>
  <c r="F305" i="4"/>
  <c r="F292" i="4"/>
  <c r="F275" i="4"/>
  <c r="F232" i="4"/>
  <c r="F142" i="4"/>
  <c r="F141" i="4"/>
  <c r="F78" i="4"/>
  <c r="F77" i="4"/>
  <c r="F67" i="4"/>
  <c r="H361" i="7"/>
  <c r="I361" i="7"/>
  <c r="J361" i="7"/>
  <c r="G361" i="7"/>
  <c r="H358" i="7"/>
  <c r="I358" i="7"/>
  <c r="J358" i="7"/>
  <c r="J337" i="4" l="1"/>
  <c r="J326" i="4"/>
  <c r="J316" i="4"/>
  <c r="J310" i="4"/>
  <c r="J304" i="4"/>
  <c r="J294" i="4"/>
  <c r="J288" i="4"/>
  <c r="J284" i="4"/>
  <c r="J274" i="4"/>
  <c r="J262" i="4"/>
  <c r="J237" i="4"/>
  <c r="J229" i="4"/>
  <c r="J221" i="4"/>
  <c r="J209" i="4"/>
  <c r="J202" i="4"/>
  <c r="J184" i="4"/>
  <c r="J176" i="4"/>
  <c r="J172" i="4"/>
  <c r="J166" i="4"/>
  <c r="J160" i="4"/>
  <c r="J156" i="4"/>
  <c r="J146" i="4"/>
  <c r="J137" i="4"/>
  <c r="J128" i="4"/>
  <c r="J122" i="4"/>
  <c r="J118" i="4"/>
  <c r="J103" i="4"/>
  <c r="J93" i="4"/>
  <c r="J86" i="4"/>
  <c r="J74" i="4"/>
  <c r="J64" i="4"/>
  <c r="J53" i="4"/>
  <c r="J41" i="4"/>
  <c r="J28" i="4"/>
  <c r="J22" i="4"/>
  <c r="J13" i="4"/>
  <c r="J9" i="4"/>
  <c r="J358" i="4"/>
  <c r="J338" i="4"/>
  <c r="J334" i="4"/>
  <c r="J317" i="4"/>
  <c r="J311" i="4"/>
  <c r="J305" i="4"/>
  <c r="J295" i="4"/>
  <c r="J291" i="4"/>
  <c r="J285" i="4"/>
  <c r="J266" i="4"/>
  <c r="J243" i="4"/>
  <c r="J230" i="4"/>
  <c r="J222" i="4"/>
  <c r="J214" i="4"/>
  <c r="J204" i="4"/>
  <c r="J189" i="4"/>
  <c r="J177" i="4"/>
  <c r="J173" i="4"/>
  <c r="J167" i="4"/>
  <c r="J161" i="4"/>
  <c r="J157" i="4"/>
  <c r="J147" i="4"/>
  <c r="J123" i="4"/>
  <c r="J119" i="4"/>
  <c r="J106" i="4"/>
  <c r="J96" i="4"/>
  <c r="J88" i="4"/>
  <c r="J77" i="4"/>
  <c r="J67" i="4"/>
  <c r="J54" i="4"/>
  <c r="J44" i="4"/>
  <c r="J29" i="4"/>
  <c r="J23" i="4"/>
  <c r="J17" i="4"/>
  <c r="J10" i="4"/>
  <c r="J87" i="4"/>
  <c r="J359" i="4"/>
  <c r="J339" i="4"/>
  <c r="J335" i="4"/>
  <c r="J322" i="4"/>
  <c r="J308" i="4"/>
  <c r="J298" i="4"/>
  <c r="J286" i="4"/>
  <c r="J278" i="4"/>
  <c r="J272" i="4"/>
  <c r="J254" i="4"/>
  <c r="J231" i="4"/>
  <c r="J223" i="4"/>
  <c r="J215" i="4"/>
  <c r="J205" i="4"/>
  <c r="H195" i="4"/>
  <c r="J194" i="4"/>
  <c r="J178" i="4"/>
  <c r="J174" i="4"/>
  <c r="J168" i="4"/>
  <c r="J162" i="4"/>
  <c r="J158" i="4"/>
  <c r="J150" i="4"/>
  <c r="J126" i="4"/>
  <c r="J120" i="4"/>
  <c r="J112" i="4"/>
  <c r="J99" i="4"/>
  <c r="J89" i="4"/>
  <c r="J78" i="4"/>
  <c r="J72" i="4"/>
  <c r="J59" i="4"/>
  <c r="J47" i="4"/>
  <c r="J35" i="4"/>
  <c r="J24" i="4"/>
  <c r="J18" i="4"/>
  <c r="J11" i="4"/>
  <c r="J347" i="4"/>
  <c r="J336" i="4"/>
  <c r="J323" i="4"/>
  <c r="J313" i="4"/>
  <c r="J309" i="4"/>
  <c r="J299" i="4"/>
  <c r="J293" i="4"/>
  <c r="J287" i="4"/>
  <c r="J279" i="4"/>
  <c r="J273" i="4"/>
  <c r="J255" i="4"/>
  <c r="J228" i="4"/>
  <c r="J220" i="4"/>
  <c r="J201" i="4"/>
  <c r="J179" i="4"/>
  <c r="J175" i="4"/>
  <c r="J171" i="4"/>
  <c r="J165" i="4"/>
  <c r="J159" i="4"/>
  <c r="J151" i="4"/>
  <c r="J145" i="4"/>
  <c r="J136" i="4"/>
  <c r="J127" i="4"/>
  <c r="J121" i="4"/>
  <c r="J117" i="4"/>
  <c r="J102" i="4"/>
  <c r="J90" i="4"/>
  <c r="J81" i="4"/>
  <c r="J73" i="4"/>
  <c r="J68" i="4"/>
  <c r="J60" i="4"/>
  <c r="J52" i="4"/>
  <c r="J38" i="4"/>
  <c r="J25" i="4"/>
  <c r="J19" i="4"/>
  <c r="J12" i="4"/>
  <c r="J8" i="4"/>
  <c r="J206" i="4"/>
  <c r="J275" i="4"/>
  <c r="J312" i="4"/>
  <c r="J292" i="4"/>
  <c r="J232" i="4"/>
  <c r="J141" i="4"/>
  <c r="J69" i="4"/>
  <c r="J142" i="4"/>
  <c r="J131" i="4"/>
  <c r="J133" i="4"/>
  <c r="K358" i="7"/>
  <c r="K361" i="7"/>
  <c r="F362" i="4"/>
  <c r="G362" i="4"/>
  <c r="I362" i="4"/>
  <c r="I143" i="4"/>
  <c r="F143" i="4"/>
  <c r="H324" i="4"/>
  <c r="H143" i="4"/>
  <c r="G143" i="4"/>
  <c r="I324" i="4"/>
  <c r="G324" i="4"/>
  <c r="I256" i="4"/>
  <c r="G256" i="4"/>
  <c r="H256" i="4"/>
  <c r="I280" i="4"/>
  <c r="G280" i="4"/>
  <c r="H280" i="4"/>
  <c r="H201" i="7"/>
  <c r="I201" i="7"/>
  <c r="J201" i="7"/>
  <c r="H39" i="7"/>
  <c r="I39" i="7"/>
  <c r="J39" i="7"/>
  <c r="G39" i="7"/>
  <c r="J280" i="4" l="1"/>
  <c r="J324" i="4"/>
  <c r="J256" i="4"/>
  <c r="J195" i="4"/>
  <c r="J143" i="4"/>
  <c r="K39" i="7"/>
  <c r="K201" i="7"/>
  <c r="H484" i="7"/>
  <c r="G486" i="7"/>
  <c r="H244" i="7" l="1"/>
  <c r="H245" i="7" s="1"/>
  <c r="I244" i="7"/>
  <c r="J244" i="7"/>
  <c r="J245" i="7" s="1"/>
  <c r="H240" i="7"/>
  <c r="H241" i="7" s="1"/>
  <c r="I240" i="7"/>
  <c r="J240" i="7"/>
  <c r="J241" i="7" s="1"/>
  <c r="H236" i="7"/>
  <c r="I236" i="7"/>
  <c r="J236" i="7"/>
  <c r="H232" i="7"/>
  <c r="I232" i="7"/>
  <c r="J232" i="7"/>
  <c r="H228" i="7"/>
  <c r="H229" i="7" s="1"/>
  <c r="I228" i="7"/>
  <c r="J228" i="7"/>
  <c r="J229" i="7" s="1"/>
  <c r="H225" i="7"/>
  <c r="H226" i="7" s="1"/>
  <c r="I225" i="7"/>
  <c r="J225" i="7"/>
  <c r="J226" i="7" s="1"/>
  <c r="H221" i="7"/>
  <c r="H222" i="7" s="1"/>
  <c r="I221" i="7"/>
  <c r="J221" i="7"/>
  <c r="J222" i="7" s="1"/>
  <c r="H218" i="7"/>
  <c r="H219" i="7" s="1"/>
  <c r="I218" i="7"/>
  <c r="J218" i="7"/>
  <c r="J219" i="7" s="1"/>
  <c r="H436" i="7"/>
  <c r="I436" i="7"/>
  <c r="J436" i="7"/>
  <c r="H434" i="7"/>
  <c r="I434" i="7"/>
  <c r="J434" i="7"/>
  <c r="H432" i="7"/>
  <c r="I432" i="7"/>
  <c r="J432" i="7"/>
  <c r="H429" i="7"/>
  <c r="H430" i="7" s="1"/>
  <c r="I429" i="7"/>
  <c r="J429" i="7"/>
  <c r="J430" i="7" s="1"/>
  <c r="H486" i="7"/>
  <c r="I486" i="7"/>
  <c r="J486" i="7"/>
  <c r="H465" i="7"/>
  <c r="I465" i="7"/>
  <c r="J465" i="7"/>
  <c r="J485" i="7" s="1"/>
  <c r="J484" i="7"/>
  <c r="H408" i="7"/>
  <c r="I408" i="7"/>
  <c r="J408" i="7"/>
  <c r="H390" i="7"/>
  <c r="H391" i="7" s="1"/>
  <c r="I390" i="7"/>
  <c r="J390" i="7"/>
  <c r="J391" i="7" s="1"/>
  <c r="H383" i="7"/>
  <c r="H384" i="7" s="1"/>
  <c r="I383" i="7"/>
  <c r="J383" i="7"/>
  <c r="J384" i="7" s="1"/>
  <c r="H375" i="7"/>
  <c r="I375" i="7"/>
  <c r="J375" i="7"/>
  <c r="H143" i="7"/>
  <c r="I143" i="7"/>
  <c r="J143" i="7"/>
  <c r="H141" i="7"/>
  <c r="I141" i="7"/>
  <c r="J141" i="7"/>
  <c r="H331" i="7"/>
  <c r="H332" i="7" s="1"/>
  <c r="I331" i="7"/>
  <c r="J331" i="7"/>
  <c r="J332" i="7" s="1"/>
  <c r="H354" i="7"/>
  <c r="H355" i="7" s="1"/>
  <c r="I354" i="7"/>
  <c r="J354" i="7"/>
  <c r="J355" i="7" s="1"/>
  <c r="H326" i="7"/>
  <c r="I326" i="7"/>
  <c r="J326" i="7"/>
  <c r="H318" i="7"/>
  <c r="I318" i="7"/>
  <c r="J318" i="7"/>
  <c r="H351" i="7"/>
  <c r="I351" i="7"/>
  <c r="J351" i="7"/>
  <c r="H344" i="7"/>
  <c r="H345" i="7" s="1"/>
  <c r="I344" i="7"/>
  <c r="J344" i="7"/>
  <c r="J345" i="7" s="1"/>
  <c r="H349" i="7"/>
  <c r="I349" i="7"/>
  <c r="J349" i="7"/>
  <c r="H35" i="7"/>
  <c r="H36" i="7" s="1"/>
  <c r="I35" i="7"/>
  <c r="J35" i="7"/>
  <c r="J36" i="7" s="1"/>
  <c r="H339" i="7"/>
  <c r="H340" i="7" s="1"/>
  <c r="I339" i="7"/>
  <c r="J339" i="7"/>
  <c r="J340" i="7" s="1"/>
  <c r="H335" i="7"/>
  <c r="H336" i="7" s="1"/>
  <c r="I335" i="7"/>
  <c r="J335" i="7"/>
  <c r="J336" i="7" s="1"/>
  <c r="H258" i="7"/>
  <c r="I258" i="7"/>
  <c r="J258" i="7"/>
  <c r="H255" i="7"/>
  <c r="H481" i="7" s="1"/>
  <c r="I255" i="7"/>
  <c r="I481" i="7" s="1"/>
  <c r="J255" i="7"/>
  <c r="J481" i="7" s="1"/>
  <c r="H252" i="7"/>
  <c r="I252" i="7"/>
  <c r="J252" i="7"/>
  <c r="H248" i="7"/>
  <c r="H249" i="7" s="1"/>
  <c r="I248" i="7"/>
  <c r="J248" i="7"/>
  <c r="J249" i="7" s="1"/>
  <c r="H285" i="7"/>
  <c r="I285" i="7"/>
  <c r="J285" i="7"/>
  <c r="H283" i="7"/>
  <c r="I283" i="7"/>
  <c r="J283" i="7"/>
  <c r="H276" i="7"/>
  <c r="H277" i="7" s="1"/>
  <c r="I276" i="7"/>
  <c r="J276" i="7"/>
  <c r="J277" i="7" s="1"/>
  <c r="H214" i="7"/>
  <c r="H215" i="7" s="1"/>
  <c r="I214" i="7"/>
  <c r="J214" i="7"/>
  <c r="J215" i="7" s="1"/>
  <c r="G214" i="7"/>
  <c r="H271" i="7"/>
  <c r="I271" i="7"/>
  <c r="J271" i="7"/>
  <c r="H268" i="7"/>
  <c r="I268" i="7"/>
  <c r="J268" i="7"/>
  <c r="H266" i="7"/>
  <c r="I266" i="7"/>
  <c r="J266" i="7"/>
  <c r="H309" i="7"/>
  <c r="I309" i="7"/>
  <c r="J309" i="7"/>
  <c r="H298" i="7"/>
  <c r="I298" i="7"/>
  <c r="J298" i="7"/>
  <c r="H207" i="7"/>
  <c r="I207" i="7"/>
  <c r="J207" i="7"/>
  <c r="H194" i="7"/>
  <c r="I194" i="7"/>
  <c r="J194" i="7"/>
  <c r="H135" i="7"/>
  <c r="H136" i="7" s="1"/>
  <c r="I135" i="7"/>
  <c r="J135" i="7"/>
  <c r="J136" i="7" s="1"/>
  <c r="H122" i="7"/>
  <c r="I122" i="7"/>
  <c r="J122" i="7"/>
  <c r="H131" i="7"/>
  <c r="H132" i="7" s="1"/>
  <c r="I131" i="7"/>
  <c r="I132" i="7" s="1"/>
  <c r="J131" i="7"/>
  <c r="J132" i="7" s="1"/>
  <c r="H485" i="7" l="1"/>
  <c r="K122" i="7"/>
  <c r="K298" i="7"/>
  <c r="K271" i="7"/>
  <c r="K214" i="7"/>
  <c r="K248" i="7"/>
  <c r="K335" i="7"/>
  <c r="K344" i="7"/>
  <c r="K354" i="7"/>
  <c r="K375" i="7"/>
  <c r="K436" i="7"/>
  <c r="I229" i="7"/>
  <c r="K228" i="7"/>
  <c r="K244" i="7"/>
  <c r="K131" i="7"/>
  <c r="K207" i="7"/>
  <c r="K268" i="7"/>
  <c r="K285" i="7"/>
  <c r="K258" i="7"/>
  <c r="K349" i="7"/>
  <c r="K326" i="7"/>
  <c r="K143" i="7"/>
  <c r="K408" i="7"/>
  <c r="K434" i="7"/>
  <c r="K225" i="7"/>
  <c r="I241" i="7"/>
  <c r="K240" i="7"/>
  <c r="K194" i="7"/>
  <c r="K266" i="7"/>
  <c r="K283" i="7"/>
  <c r="K255" i="7"/>
  <c r="K35" i="7"/>
  <c r="K318" i="7"/>
  <c r="K141" i="7"/>
  <c r="I391" i="7"/>
  <c r="K390" i="7"/>
  <c r="K432" i="7"/>
  <c r="I222" i="7"/>
  <c r="K221" i="7"/>
  <c r="K236" i="7"/>
  <c r="K135" i="7"/>
  <c r="K309" i="7"/>
  <c r="K276" i="7"/>
  <c r="K252" i="7"/>
  <c r="K339" i="7"/>
  <c r="K351" i="7"/>
  <c r="K331" i="7"/>
  <c r="I384" i="7"/>
  <c r="K383" i="7"/>
  <c r="I430" i="7"/>
  <c r="K429" i="7"/>
  <c r="K218" i="7"/>
  <c r="K232" i="7"/>
  <c r="I355" i="7"/>
  <c r="I345" i="7"/>
  <c r="I340" i="7"/>
  <c r="I336" i="7"/>
  <c r="I332" i="7"/>
  <c r="I277" i="7"/>
  <c r="I249" i="7"/>
  <c r="I245" i="7"/>
  <c r="I226" i="7"/>
  <c r="I219" i="7"/>
  <c r="I215" i="7"/>
  <c r="I136" i="7"/>
  <c r="I36" i="7"/>
  <c r="I476" i="7"/>
  <c r="I485" i="7"/>
  <c r="H476" i="7"/>
  <c r="J237" i="7"/>
  <c r="J476" i="7"/>
  <c r="J437" i="7"/>
  <c r="I437" i="7"/>
  <c r="I237" i="7"/>
  <c r="H437" i="7"/>
  <c r="H237" i="7"/>
  <c r="H310" i="7"/>
  <c r="J144" i="7"/>
  <c r="H376" i="7"/>
  <c r="J352" i="7"/>
  <c r="I352" i="7"/>
  <c r="H327" i="7"/>
  <c r="J327" i="7"/>
  <c r="J362" i="7"/>
  <c r="H259" i="7"/>
  <c r="I259" i="7"/>
  <c r="H352" i="7"/>
  <c r="I362" i="7"/>
  <c r="H144" i="7"/>
  <c r="J376" i="7"/>
  <c r="H272" i="7"/>
  <c r="I327" i="7"/>
  <c r="H362" i="7"/>
  <c r="I376" i="7"/>
  <c r="J310" i="7"/>
  <c r="I272" i="7"/>
  <c r="J272" i="7"/>
  <c r="J259" i="7"/>
  <c r="I310" i="7"/>
  <c r="I144" i="7"/>
  <c r="J202" i="7"/>
  <c r="H210" i="7"/>
  <c r="I127" i="7"/>
  <c r="I202" i="7"/>
  <c r="J127" i="7"/>
  <c r="H202" i="7"/>
  <c r="J210" i="7"/>
  <c r="H127" i="7"/>
  <c r="I210" i="7"/>
  <c r="H150" i="7"/>
  <c r="I150" i="7"/>
  <c r="J150" i="7"/>
  <c r="H147" i="7"/>
  <c r="I147" i="7"/>
  <c r="J147" i="7"/>
  <c r="H154" i="7"/>
  <c r="I154" i="7"/>
  <c r="J154" i="7"/>
  <c r="H165" i="7"/>
  <c r="I165" i="7"/>
  <c r="J165" i="7"/>
  <c r="H185" i="7"/>
  <c r="I185" i="7"/>
  <c r="J185" i="7"/>
  <c r="H181" i="7"/>
  <c r="I181" i="7"/>
  <c r="J181" i="7"/>
  <c r="H116" i="7"/>
  <c r="H117" i="7" s="1"/>
  <c r="I116" i="7"/>
  <c r="J116" i="7"/>
  <c r="J117" i="7" s="1"/>
  <c r="H112" i="7"/>
  <c r="I112" i="7"/>
  <c r="J112" i="7"/>
  <c r="H106" i="7"/>
  <c r="I106" i="7"/>
  <c r="J106" i="7"/>
  <c r="H100" i="7"/>
  <c r="H101" i="7" s="1"/>
  <c r="I100" i="7"/>
  <c r="I101" i="7" s="1"/>
  <c r="J100" i="7"/>
  <c r="J101" i="7" s="1"/>
  <c r="H52" i="7"/>
  <c r="H53" i="7" s="1"/>
  <c r="I52" i="7"/>
  <c r="I53" i="7" s="1"/>
  <c r="J52" i="7"/>
  <c r="J53" i="7" s="1"/>
  <c r="H86" i="7"/>
  <c r="H87" i="7" s="1"/>
  <c r="I86" i="7"/>
  <c r="I87" i="7" s="1"/>
  <c r="J86" i="7"/>
  <c r="J87" i="7" s="1"/>
  <c r="H65" i="7"/>
  <c r="I65" i="7"/>
  <c r="J65" i="7"/>
  <c r="H74" i="7"/>
  <c r="I74" i="7"/>
  <c r="J74" i="7"/>
  <c r="H47" i="7"/>
  <c r="H48" i="7" s="1"/>
  <c r="I47" i="7"/>
  <c r="I48" i="7" s="1"/>
  <c r="J47" i="7"/>
  <c r="J48" i="7" s="1"/>
  <c r="H57" i="7"/>
  <c r="I57" i="7"/>
  <c r="J57" i="7"/>
  <c r="H91" i="7"/>
  <c r="I91" i="7"/>
  <c r="J91" i="7"/>
  <c r="H41" i="7"/>
  <c r="I41" i="7"/>
  <c r="J41" i="7"/>
  <c r="H21" i="7"/>
  <c r="H482" i="7" s="1"/>
  <c r="I21" i="7"/>
  <c r="J21" i="7"/>
  <c r="J482" i="7" s="1"/>
  <c r="H17" i="7"/>
  <c r="I17" i="7"/>
  <c r="J17" i="7"/>
  <c r="J480" i="7" s="1"/>
  <c r="H15" i="7"/>
  <c r="I15" i="7"/>
  <c r="J15" i="7"/>
  <c r="H31" i="7"/>
  <c r="I31" i="7"/>
  <c r="J31" i="7"/>
  <c r="H8" i="7"/>
  <c r="I8" i="7"/>
  <c r="J8" i="7"/>
  <c r="G8" i="7"/>
  <c r="I482" i="7" l="1"/>
  <c r="H480" i="7"/>
  <c r="I480" i="7"/>
  <c r="K31" i="7"/>
  <c r="K41" i="7"/>
  <c r="K74" i="7"/>
  <c r="K100" i="7"/>
  <c r="K181" i="7"/>
  <c r="K147" i="7"/>
  <c r="K376" i="7"/>
  <c r="K259" i="7"/>
  <c r="K237" i="7"/>
  <c r="K36" i="7"/>
  <c r="K219" i="7"/>
  <c r="K277" i="7"/>
  <c r="K345" i="7"/>
  <c r="K384" i="7"/>
  <c r="K481" i="7"/>
  <c r="K21" i="7"/>
  <c r="K47" i="7"/>
  <c r="K52" i="7"/>
  <c r="K116" i="7"/>
  <c r="K154" i="7"/>
  <c r="K210" i="7"/>
  <c r="K352" i="7"/>
  <c r="K437" i="7"/>
  <c r="K132" i="7"/>
  <c r="K226" i="7"/>
  <c r="K332" i="7"/>
  <c r="K355" i="7"/>
  <c r="K430" i="7"/>
  <c r="K241" i="7"/>
  <c r="K229" i="7"/>
  <c r="K17" i="7"/>
  <c r="K57" i="7"/>
  <c r="K86" i="7"/>
  <c r="K112" i="7"/>
  <c r="K165" i="7"/>
  <c r="K202" i="7"/>
  <c r="K144" i="7"/>
  <c r="K272" i="7"/>
  <c r="K327" i="7"/>
  <c r="K362" i="7"/>
  <c r="K136" i="7"/>
  <c r="K245" i="7"/>
  <c r="K336" i="7"/>
  <c r="K222" i="7"/>
  <c r="K8" i="7"/>
  <c r="K15" i="7"/>
  <c r="K91" i="7"/>
  <c r="K65" i="7"/>
  <c r="K106" i="7"/>
  <c r="K185" i="7"/>
  <c r="K150" i="7"/>
  <c r="K127" i="7"/>
  <c r="K310" i="7"/>
  <c r="K215" i="7"/>
  <c r="K249" i="7"/>
  <c r="K340" i="7"/>
  <c r="K391" i="7"/>
  <c r="I117" i="7"/>
  <c r="I9" i="7"/>
  <c r="H9" i="7"/>
  <c r="J9" i="7"/>
  <c r="J32" i="7"/>
  <c r="J69" i="7"/>
  <c r="J151" i="7"/>
  <c r="H96" i="7"/>
  <c r="J60" i="7"/>
  <c r="I69" i="7"/>
  <c r="I186" i="7"/>
  <c r="J166" i="7"/>
  <c r="H32" i="7"/>
  <c r="H69" i="7"/>
  <c r="J113" i="7"/>
  <c r="H186" i="7"/>
  <c r="I151" i="7"/>
  <c r="J22" i="7"/>
  <c r="I80" i="7"/>
  <c r="J80" i="7"/>
  <c r="H113" i="7"/>
  <c r="H166" i="7"/>
  <c r="I113" i="7"/>
  <c r="I166" i="7"/>
  <c r="I22" i="7"/>
  <c r="H42" i="7"/>
  <c r="H60" i="7"/>
  <c r="I60" i="7"/>
  <c r="H80" i="7"/>
  <c r="J186" i="7"/>
  <c r="H151" i="7"/>
  <c r="J96" i="7"/>
  <c r="J42" i="7"/>
  <c r="I96" i="7"/>
  <c r="I42" i="7"/>
  <c r="I32" i="7"/>
  <c r="H22" i="7"/>
  <c r="G478" i="7"/>
  <c r="G448" i="7"/>
  <c r="K53" i="7" l="1"/>
  <c r="K32" i="7"/>
  <c r="K166" i="7"/>
  <c r="K42" i="7"/>
  <c r="K113" i="7"/>
  <c r="K80" i="7"/>
  <c r="K186" i="7"/>
  <c r="K87" i="7"/>
  <c r="K60" i="7"/>
  <c r="K96" i="7"/>
  <c r="K69" i="7"/>
  <c r="K9" i="7"/>
  <c r="K101" i="7"/>
  <c r="K482" i="7"/>
  <c r="K22" i="7"/>
  <c r="K151" i="7"/>
  <c r="K48" i="7"/>
  <c r="K117" i="7"/>
  <c r="K480" i="7"/>
  <c r="G21" i="7"/>
  <c r="E16" i="8" l="1"/>
  <c r="D16" i="8"/>
  <c r="E40" i="11"/>
  <c r="C40" i="11"/>
  <c r="D40" i="11"/>
  <c r="E117" i="13"/>
  <c r="C117" i="13"/>
  <c r="D117" i="13"/>
  <c r="C116" i="13"/>
  <c r="L16" i="8"/>
  <c r="F231" i="14"/>
  <c r="G231" i="14"/>
  <c r="D98" i="12"/>
  <c r="J16" i="8"/>
  <c r="J17" i="8"/>
  <c r="F16" i="8" l="1"/>
  <c r="G117" i="13"/>
  <c r="F117" i="13"/>
  <c r="K16" i="8"/>
  <c r="C230" i="14"/>
  <c r="G98" i="12"/>
  <c r="E231" i="14"/>
  <c r="D231" i="14"/>
  <c r="F98" i="12"/>
  <c r="N16" i="8"/>
  <c r="E98" i="12"/>
  <c r="C231" i="14"/>
  <c r="C98" i="12"/>
  <c r="D15" i="8"/>
  <c r="F15" i="8" s="1"/>
  <c r="E39" i="11" l="1"/>
  <c r="D39" i="11"/>
  <c r="C41" i="11"/>
  <c r="C39" i="11"/>
  <c r="B101" i="12"/>
  <c r="G97" i="12"/>
  <c r="E99" i="12"/>
  <c r="G99" i="12"/>
  <c r="E100" i="12"/>
  <c r="F100" i="12"/>
  <c r="D99" i="12"/>
  <c r="D100" i="12"/>
  <c r="C99" i="12"/>
  <c r="C100" i="12"/>
  <c r="F97" i="12"/>
  <c r="I363" i="4"/>
  <c r="I364" i="4" l="1"/>
  <c r="G100" i="12"/>
  <c r="G101" i="12" s="1"/>
  <c r="J18" i="8" l="1"/>
  <c r="B49" i="12"/>
  <c r="N15" i="8" l="1"/>
  <c r="L17" i="8"/>
  <c r="N17" i="8"/>
  <c r="N18" i="8"/>
  <c r="K17" i="8"/>
  <c r="J15" i="8"/>
  <c r="C15" i="8"/>
  <c r="B25" i="9"/>
  <c r="B39" i="10"/>
  <c r="B115" i="13"/>
  <c r="D232" i="14"/>
  <c r="E232" i="14"/>
  <c r="G232" i="14"/>
  <c r="C232" i="14"/>
  <c r="L15" i="8" l="1"/>
  <c r="E97" i="12"/>
  <c r="B28" i="10"/>
  <c r="B5" i="9"/>
  <c r="B119" i="13" l="1"/>
  <c r="B105" i="13"/>
  <c r="C118" i="13" l="1"/>
  <c r="B92" i="12" l="1"/>
  <c r="B229" i="14"/>
  <c r="B234" i="14"/>
  <c r="B223" i="14"/>
  <c r="B44" i="10" l="1"/>
  <c r="B123" i="13" l="1"/>
  <c r="B116" i="13"/>
  <c r="C233" i="14"/>
  <c r="B114" i="13" l="1"/>
  <c r="K15" i="8" l="1"/>
  <c r="D97" i="12"/>
  <c r="D101" i="12" s="1"/>
  <c r="B38" i="10"/>
  <c r="B31" i="9" l="1"/>
  <c r="B30" i="9"/>
  <c r="B10" i="9"/>
  <c r="B4" i="9"/>
  <c r="B57" i="13"/>
  <c r="B52" i="13"/>
  <c r="B6" i="9"/>
  <c r="B14" i="11"/>
  <c r="B28" i="11"/>
  <c r="B51" i="13"/>
  <c r="B100" i="13"/>
  <c r="B7" i="9"/>
  <c r="B45" i="10" l="1"/>
  <c r="F186" i="6"/>
  <c r="D46" i="11" s="1"/>
  <c r="C108" i="12"/>
  <c r="C106" i="12"/>
  <c r="B94" i="12"/>
  <c r="D143" i="13" l="1"/>
  <c r="E143" i="13"/>
  <c r="D147" i="13"/>
  <c r="D146" i="13"/>
  <c r="E262" i="14"/>
  <c r="E264" i="14"/>
  <c r="E266" i="14"/>
  <c r="D262" i="14"/>
  <c r="D264" i="14"/>
  <c r="D266" i="14"/>
  <c r="D261" i="14"/>
  <c r="D265" i="14"/>
  <c r="D263" i="14"/>
  <c r="F143" i="13" l="1"/>
  <c r="G143" i="13"/>
  <c r="B239" i="14"/>
  <c r="B230" i="14"/>
  <c r="B225" i="14"/>
  <c r="B228" i="14"/>
  <c r="D259" i="14" l="1"/>
  <c r="G429" i="7"/>
  <c r="E101" i="12" l="1"/>
  <c r="G363" i="4"/>
  <c r="N19" i="8"/>
  <c r="D230" i="14"/>
  <c r="E230" i="14"/>
  <c r="F230" i="14"/>
  <c r="G230" i="14"/>
  <c r="G233" i="14"/>
  <c r="K361" i="4" l="1"/>
  <c r="K359" i="4"/>
  <c r="K358" i="4"/>
  <c r="G364" i="4"/>
  <c r="G234" i="14"/>
  <c r="G235" i="14" s="1"/>
  <c r="E258" i="14" l="1"/>
  <c r="F258" i="14"/>
  <c r="G258" i="14"/>
  <c r="E259" i="14"/>
  <c r="F259" i="14"/>
  <c r="G259" i="14"/>
  <c r="E260" i="14"/>
  <c r="F260" i="14"/>
  <c r="G260" i="14"/>
  <c r="E261" i="14"/>
  <c r="F261" i="14"/>
  <c r="G261" i="14"/>
  <c r="F262" i="14"/>
  <c r="G262" i="14"/>
  <c r="E263" i="14"/>
  <c r="F263" i="14"/>
  <c r="G263" i="14"/>
  <c r="F264" i="14"/>
  <c r="G264" i="14"/>
  <c r="E265" i="14"/>
  <c r="F265" i="14"/>
  <c r="G265" i="14"/>
  <c r="F266" i="14"/>
  <c r="G266" i="14"/>
  <c r="D260" i="14"/>
  <c r="D48" i="11" l="1"/>
  <c r="D144" i="13"/>
  <c r="G267" i="14"/>
  <c r="F267" i="14"/>
  <c r="E267" i="14"/>
  <c r="F401" i="4"/>
  <c r="D267" i="14"/>
  <c r="I401" i="4"/>
  <c r="H401" i="4"/>
  <c r="G401" i="4"/>
  <c r="I267" i="14" l="1"/>
  <c r="H267" i="14"/>
  <c r="G200" i="6"/>
  <c r="E48" i="11"/>
  <c r="F200" i="6"/>
  <c r="E108" i="12"/>
  <c r="E109" i="12" s="1"/>
  <c r="D45" i="10" s="1"/>
  <c r="L24" i="8" s="1"/>
  <c r="G402" i="4"/>
  <c r="F108" i="12"/>
  <c r="F109" i="12" s="1"/>
  <c r="H402" i="4"/>
  <c r="F402" i="4"/>
  <c r="D108" i="12"/>
  <c r="D109" i="12" s="1"/>
  <c r="C45" i="10" s="1"/>
  <c r="I402" i="4"/>
  <c r="G108" i="12"/>
  <c r="G109" i="12" s="1"/>
  <c r="F45" i="10" s="1"/>
  <c r="N24" i="8" s="1"/>
  <c r="G465" i="7"/>
  <c r="E45" i="10" l="1"/>
  <c r="M24" i="8" s="1"/>
  <c r="H109" i="12"/>
  <c r="I109" i="12"/>
  <c r="H200" i="6"/>
  <c r="I200" i="6"/>
  <c r="G476" i="7"/>
  <c r="G485" i="7"/>
  <c r="B27" i="9" l="1"/>
  <c r="B110" i="13" l="1"/>
  <c r="F339" i="4" l="1"/>
  <c r="C46" i="11" l="1"/>
  <c r="C28" i="12" l="1"/>
  <c r="C4" i="12"/>
  <c r="C6" i="14"/>
  <c r="C23" i="12"/>
  <c r="C24" i="12"/>
  <c r="D148" i="13"/>
  <c r="D149" i="13"/>
  <c r="D150" i="13"/>
  <c r="D151" i="13"/>
  <c r="C130" i="13"/>
  <c r="C136" i="13"/>
  <c r="D6" i="13" l="1"/>
  <c r="D145" i="13" l="1"/>
  <c r="D152" i="13" l="1"/>
  <c r="C31" i="9" l="1"/>
  <c r="D24" i="8" s="1"/>
  <c r="D49" i="11"/>
  <c r="G186" i="6"/>
  <c r="G175" i="6"/>
  <c r="H186" i="6" l="1"/>
  <c r="I186" i="6"/>
  <c r="I175" i="6"/>
  <c r="H175" i="6"/>
  <c r="G187" i="6"/>
  <c r="D4" i="11"/>
  <c r="G201" i="6" l="1"/>
  <c r="H187" i="6"/>
  <c r="I187" i="6"/>
  <c r="E148" i="13"/>
  <c r="E150" i="13"/>
  <c r="E146" i="13"/>
  <c r="G148" i="13" l="1"/>
  <c r="F148" i="13"/>
  <c r="F146" i="13"/>
  <c r="G146" i="13"/>
  <c r="F150" i="13"/>
  <c r="G150" i="13"/>
  <c r="H201" i="6"/>
  <c r="I201" i="6"/>
  <c r="E147" i="13"/>
  <c r="E149" i="13"/>
  <c r="G149" i="13" l="1"/>
  <c r="F149" i="13"/>
  <c r="F147" i="13"/>
  <c r="G147" i="13"/>
  <c r="E144" i="13"/>
  <c r="B126" i="13"/>
  <c r="C126" i="13"/>
  <c r="D126" i="13"/>
  <c r="E126" i="13"/>
  <c r="C134" i="13"/>
  <c r="D371" i="4"/>
  <c r="B241" i="14" s="1"/>
  <c r="F371" i="4"/>
  <c r="D241" i="14" s="1"/>
  <c r="E241" i="14"/>
  <c r="F241" i="14"/>
  <c r="G241" i="14"/>
  <c r="G144" i="13" l="1"/>
  <c r="F144" i="13"/>
  <c r="G126" i="13"/>
  <c r="F126" i="13"/>
  <c r="E151" i="13"/>
  <c r="E49" i="11"/>
  <c r="E145" i="13"/>
  <c r="E139" i="13"/>
  <c r="E140" i="13"/>
  <c r="D139" i="13"/>
  <c r="D140" i="13"/>
  <c r="B139" i="13"/>
  <c r="B140" i="13"/>
  <c r="C139" i="13"/>
  <c r="C138" i="13"/>
  <c r="B93" i="13"/>
  <c r="B94" i="13"/>
  <c r="B95" i="13"/>
  <c r="E95" i="13"/>
  <c r="D95" i="13"/>
  <c r="C95" i="13"/>
  <c r="G125" i="6"/>
  <c r="F125" i="6"/>
  <c r="G49" i="11" l="1"/>
  <c r="F49" i="11"/>
  <c r="G145" i="13"/>
  <c r="F145" i="13"/>
  <c r="G151" i="13"/>
  <c r="F151" i="13"/>
  <c r="F140" i="13"/>
  <c r="G140" i="13"/>
  <c r="F139" i="13"/>
  <c r="G139" i="13"/>
  <c r="G95" i="13"/>
  <c r="F95" i="13"/>
  <c r="H125" i="6"/>
  <c r="I125" i="6"/>
  <c r="E152" i="13"/>
  <c r="D386" i="4"/>
  <c r="B254" i="14" s="1"/>
  <c r="F386" i="4"/>
  <c r="D254" i="14" s="1"/>
  <c r="E254" i="14"/>
  <c r="F254" i="14"/>
  <c r="G254" i="14"/>
  <c r="G152" i="13" l="1"/>
  <c r="F152" i="13"/>
  <c r="D31" i="9"/>
  <c r="D125" i="13"/>
  <c r="E24" i="8" l="1"/>
  <c r="F31" i="9"/>
  <c r="E31" i="9"/>
  <c r="F185" i="14"/>
  <c r="E184" i="14" l="1"/>
  <c r="F184" i="14"/>
  <c r="G184" i="14"/>
  <c r="F287" i="4"/>
  <c r="D184" i="14" s="1"/>
  <c r="F288" i="4"/>
  <c r="D185" i="14" s="1"/>
  <c r="G185" i="14"/>
  <c r="F286" i="4"/>
  <c r="F285" i="4"/>
  <c r="F284" i="4"/>
  <c r="F304" i="4"/>
  <c r="F289" i="4" l="1"/>
  <c r="G309" i="7" l="1"/>
  <c r="G17" i="7"/>
  <c r="G15" i="7"/>
  <c r="G22" i="7" l="1"/>
  <c r="C52" i="12" l="1"/>
  <c r="C51" i="12"/>
  <c r="C93" i="13" l="1"/>
  <c r="D93" i="13"/>
  <c r="E93" i="13"/>
  <c r="C94" i="13"/>
  <c r="D94" i="13"/>
  <c r="E94" i="13"/>
  <c r="E40" i="14"/>
  <c r="F40" i="14"/>
  <c r="G40" i="14"/>
  <c r="F47" i="4"/>
  <c r="E21" i="14"/>
  <c r="F21" i="14"/>
  <c r="G21" i="14"/>
  <c r="E22" i="14"/>
  <c r="F22" i="14"/>
  <c r="G22" i="14"/>
  <c r="E23" i="14"/>
  <c r="F23" i="14"/>
  <c r="G23" i="14"/>
  <c r="E17" i="14"/>
  <c r="F17" i="14"/>
  <c r="G17" i="14"/>
  <c r="E18" i="14"/>
  <c r="F18" i="14"/>
  <c r="G18" i="14"/>
  <c r="E19" i="14"/>
  <c r="F19" i="14"/>
  <c r="G19" i="14"/>
  <c r="E20" i="14"/>
  <c r="F20" i="14"/>
  <c r="G20" i="14"/>
  <c r="E13" i="14"/>
  <c r="F13" i="14"/>
  <c r="G13" i="14"/>
  <c r="E14" i="14"/>
  <c r="F14" i="14"/>
  <c r="G14" i="14"/>
  <c r="E15" i="14"/>
  <c r="F15" i="14"/>
  <c r="G15" i="14"/>
  <c r="E16" i="14"/>
  <c r="F16" i="14"/>
  <c r="G16" i="14"/>
  <c r="F6" i="14"/>
  <c r="G6" i="14"/>
  <c r="E7" i="14"/>
  <c r="F7" i="14"/>
  <c r="G7" i="14"/>
  <c r="E8" i="14"/>
  <c r="F8" i="14"/>
  <c r="G8" i="14"/>
  <c r="E9" i="14"/>
  <c r="F9" i="14"/>
  <c r="G9" i="14"/>
  <c r="E10" i="14"/>
  <c r="F10" i="14"/>
  <c r="G10" i="14"/>
  <c r="E11" i="14"/>
  <c r="F11" i="14"/>
  <c r="G11" i="14"/>
  <c r="E12" i="14"/>
  <c r="F12" i="14"/>
  <c r="G12" i="14"/>
  <c r="B218" i="14"/>
  <c r="C218" i="14"/>
  <c r="B178" i="14"/>
  <c r="C178" i="14"/>
  <c r="B142" i="14"/>
  <c r="C142" i="14"/>
  <c r="C132" i="14"/>
  <c r="B132" i="14"/>
  <c r="B99" i="14"/>
  <c r="C99" i="14"/>
  <c r="C54" i="14"/>
  <c r="B54" i="14"/>
  <c r="C47" i="14"/>
  <c r="B47" i="14"/>
  <c r="C40" i="14"/>
  <c r="B40" i="14"/>
  <c r="B39" i="14"/>
  <c r="C39" i="14"/>
  <c r="E99" i="14"/>
  <c r="F99" i="14"/>
  <c r="E90" i="14"/>
  <c r="F90" i="14"/>
  <c r="E54" i="14"/>
  <c r="F54" i="14"/>
  <c r="E47" i="14"/>
  <c r="F47" i="14"/>
  <c r="G47" i="14"/>
  <c r="F93" i="13" l="1"/>
  <c r="G93" i="13"/>
  <c r="F94" i="13"/>
  <c r="G94" i="13"/>
  <c r="I14" i="4"/>
  <c r="G14" i="4"/>
  <c r="H91" i="4"/>
  <c r="E6" i="14"/>
  <c r="H14" i="4"/>
  <c r="I280" i="7"/>
  <c r="I479" i="7" s="1"/>
  <c r="E218" i="14"/>
  <c r="F218" i="14"/>
  <c r="G218" i="14"/>
  <c r="E191" i="14"/>
  <c r="F191" i="14"/>
  <c r="G191" i="14"/>
  <c r="E192" i="14"/>
  <c r="F192" i="14"/>
  <c r="G192" i="14"/>
  <c r="E186" i="14"/>
  <c r="F186" i="14"/>
  <c r="G186" i="14"/>
  <c r="E187" i="14"/>
  <c r="F187" i="14"/>
  <c r="G187" i="14"/>
  <c r="E188" i="14"/>
  <c r="F188" i="14"/>
  <c r="G188" i="14"/>
  <c r="E189" i="14"/>
  <c r="F189" i="14"/>
  <c r="G189" i="14"/>
  <c r="E190" i="14"/>
  <c r="F190" i="14"/>
  <c r="G190" i="14"/>
  <c r="E181" i="14"/>
  <c r="F181" i="14"/>
  <c r="G181" i="14"/>
  <c r="E182" i="14"/>
  <c r="F182" i="14"/>
  <c r="G182" i="14"/>
  <c r="E183" i="14"/>
  <c r="F183" i="14"/>
  <c r="G183" i="14"/>
  <c r="E177" i="14"/>
  <c r="F177" i="14"/>
  <c r="G177" i="14"/>
  <c r="E178" i="14"/>
  <c r="F178" i="14"/>
  <c r="G178" i="14"/>
  <c r="F176" i="14"/>
  <c r="E176" i="14"/>
  <c r="G176" i="14"/>
  <c r="G174" i="14"/>
  <c r="G175" i="14"/>
  <c r="F174" i="14"/>
  <c r="F175" i="14"/>
  <c r="E174" i="14"/>
  <c r="E175" i="14"/>
  <c r="G263" i="4"/>
  <c r="H263" i="4"/>
  <c r="I263" i="4"/>
  <c r="E142" i="14"/>
  <c r="F142" i="14"/>
  <c r="G142" i="14"/>
  <c r="G210" i="4"/>
  <c r="I210" i="4"/>
  <c r="G196" i="4"/>
  <c r="H196" i="4"/>
  <c r="H185" i="4"/>
  <c r="G99" i="14"/>
  <c r="G152" i="4"/>
  <c r="G90" i="14"/>
  <c r="H129" i="4"/>
  <c r="G54" i="14"/>
  <c r="H65" i="4"/>
  <c r="H36" i="4"/>
  <c r="H152" i="4"/>
  <c r="H180" i="4"/>
  <c r="H169" i="4"/>
  <c r="H163" i="4"/>
  <c r="H148" i="4"/>
  <c r="H139" i="4"/>
  <c r="H134" i="4"/>
  <c r="H124" i="4"/>
  <c r="H75" i="4"/>
  <c r="H62" i="4"/>
  <c r="H55" i="4"/>
  <c r="H48" i="4"/>
  <c r="H31" i="4"/>
  <c r="H26" i="4"/>
  <c r="H340" i="4"/>
  <c r="G163" i="4"/>
  <c r="G75" i="4"/>
  <c r="I75" i="4"/>
  <c r="G62" i="4"/>
  <c r="I62" i="4"/>
  <c r="F162" i="4"/>
  <c r="D99" i="14" s="1"/>
  <c r="F87" i="4"/>
  <c r="D54" i="14" s="1"/>
  <c r="D218" i="14"/>
  <c r="F74" i="4"/>
  <c r="D47" i="14" s="1"/>
  <c r="D178" i="14"/>
  <c r="F209" i="4"/>
  <c r="F223" i="4"/>
  <c r="D142" i="14" s="1"/>
  <c r="F222" i="4"/>
  <c r="C4" i="11"/>
  <c r="J163" i="4" l="1"/>
  <c r="J196" i="4"/>
  <c r="J263" i="4"/>
  <c r="I483" i="7"/>
  <c r="J62" i="4"/>
  <c r="J75" i="4"/>
  <c r="J152" i="4"/>
  <c r="J14" i="4"/>
  <c r="I286" i="7"/>
  <c r="I438" i="7" s="1"/>
  <c r="G267" i="4"/>
  <c r="I267" i="4"/>
  <c r="H267" i="4"/>
  <c r="G173" i="14"/>
  <c r="G179" i="14" s="1"/>
  <c r="I276" i="4"/>
  <c r="F173" i="14"/>
  <c r="F179" i="14" s="1"/>
  <c r="H179" i="14" s="1"/>
  <c r="H276" i="4"/>
  <c r="E173" i="14"/>
  <c r="E179" i="14" s="1"/>
  <c r="G276" i="4"/>
  <c r="I340" i="4"/>
  <c r="I163" i="4"/>
  <c r="H318" i="4"/>
  <c r="H79" i="4"/>
  <c r="I152" i="4"/>
  <c r="H296" i="4"/>
  <c r="I224" i="4"/>
  <c r="H207" i="4"/>
  <c r="H224" i="4"/>
  <c r="H233" i="4"/>
  <c r="F52" i="12"/>
  <c r="F132" i="14"/>
  <c r="E52" i="12"/>
  <c r="E132" i="14"/>
  <c r="G224" i="4"/>
  <c r="F210" i="4"/>
  <c r="D52" i="12"/>
  <c r="D132" i="14"/>
  <c r="H210" i="4"/>
  <c r="H181" i="4"/>
  <c r="E193" i="14"/>
  <c r="G340" i="4"/>
  <c r="J340" i="4" s="1"/>
  <c r="G52" i="12"/>
  <c r="G132" i="14"/>
  <c r="B5" i="10"/>
  <c r="B109" i="13"/>
  <c r="C109" i="13"/>
  <c r="C34" i="11" s="1"/>
  <c r="B19" i="9" s="1"/>
  <c r="F387" i="4"/>
  <c r="D255" i="14" s="1"/>
  <c r="D380" i="4"/>
  <c r="B248" i="14" s="1"/>
  <c r="D381" i="4"/>
  <c r="B249" i="14" s="1"/>
  <c r="D382" i="4"/>
  <c r="B250" i="14" s="1"/>
  <c r="D383" i="4"/>
  <c r="B251" i="14" s="1"/>
  <c r="D384" i="4"/>
  <c r="B252" i="14" s="1"/>
  <c r="D385" i="4"/>
  <c r="B253" i="14" s="1"/>
  <c r="D379" i="4"/>
  <c r="B247" i="14" s="1"/>
  <c r="D373" i="4"/>
  <c r="B243" i="14" s="1"/>
  <c r="D374" i="4"/>
  <c r="B244" i="14" s="1"/>
  <c r="D375" i="4"/>
  <c r="B245" i="14" s="1"/>
  <c r="D376" i="4"/>
  <c r="B246" i="14" s="1"/>
  <c r="D372" i="4"/>
  <c r="B242" i="14" s="1"/>
  <c r="D370" i="4"/>
  <c r="B240" i="14" s="1"/>
  <c r="F370" i="4"/>
  <c r="E255" i="14"/>
  <c r="F255" i="14"/>
  <c r="G255" i="14"/>
  <c r="F385" i="4"/>
  <c r="D253" i="14" s="1"/>
  <c r="F384" i="4"/>
  <c r="D252" i="14" s="1"/>
  <c r="C44" i="12"/>
  <c r="C46" i="12"/>
  <c r="F13" i="4"/>
  <c r="I487" i="7" l="1"/>
  <c r="J210" i="4"/>
  <c r="J267" i="4"/>
  <c r="J224" i="4"/>
  <c r="J276" i="4"/>
  <c r="H281" i="4"/>
  <c r="I281" i="4"/>
  <c r="G281" i="4"/>
  <c r="J281" i="4" l="1"/>
  <c r="G218" i="7"/>
  <c r="G41" i="7"/>
  <c r="F175" i="6"/>
  <c r="D45" i="11" s="1"/>
  <c r="F187" i="6" l="1"/>
  <c r="F201" i="6" s="1"/>
  <c r="D47" i="11"/>
  <c r="D50" i="11" s="1"/>
  <c r="G42" i="7"/>
  <c r="G63" i="6"/>
  <c r="G131" i="6"/>
  <c r="G128" i="6"/>
  <c r="I131" i="6" l="1"/>
  <c r="H131" i="6"/>
  <c r="I128" i="6"/>
  <c r="H128" i="6"/>
  <c r="E11" i="11"/>
  <c r="H63" i="6"/>
  <c r="I63" i="6"/>
  <c r="D49" i="13"/>
  <c r="E49" i="13"/>
  <c r="E48" i="13"/>
  <c r="D48" i="13"/>
  <c r="D44" i="13"/>
  <c r="E44" i="13"/>
  <c r="D45" i="13"/>
  <c r="E45" i="13"/>
  <c r="D46" i="13"/>
  <c r="E46" i="13"/>
  <c r="D47" i="13"/>
  <c r="E47" i="13"/>
  <c r="E43" i="13"/>
  <c r="D43" i="13"/>
  <c r="D38" i="13"/>
  <c r="E38" i="13"/>
  <c r="D39" i="13"/>
  <c r="E39" i="13"/>
  <c r="D40" i="13"/>
  <c r="E40" i="13"/>
  <c r="D41" i="13"/>
  <c r="E41" i="13"/>
  <c r="D42" i="13"/>
  <c r="E42" i="13"/>
  <c r="E37" i="13"/>
  <c r="D37" i="13"/>
  <c r="D32" i="13"/>
  <c r="E32" i="13"/>
  <c r="D33" i="13"/>
  <c r="E33" i="13"/>
  <c r="D34" i="13"/>
  <c r="E34" i="13"/>
  <c r="D35" i="13"/>
  <c r="E35" i="13"/>
  <c r="D36" i="13"/>
  <c r="E36" i="13"/>
  <c r="E31" i="13"/>
  <c r="D31" i="13"/>
  <c r="D26" i="13"/>
  <c r="E26" i="13"/>
  <c r="D27" i="13"/>
  <c r="E27" i="13"/>
  <c r="D28" i="13"/>
  <c r="E28" i="13"/>
  <c r="D29" i="13"/>
  <c r="E29" i="13"/>
  <c r="D30" i="13"/>
  <c r="E30" i="13"/>
  <c r="E25" i="13"/>
  <c r="D25" i="13"/>
  <c r="D20" i="13"/>
  <c r="E20" i="13"/>
  <c r="D21" i="13"/>
  <c r="E21" i="13"/>
  <c r="D22" i="13"/>
  <c r="E22" i="13"/>
  <c r="D23" i="13"/>
  <c r="E23" i="13"/>
  <c r="D24" i="13"/>
  <c r="E24" i="13"/>
  <c r="E19" i="13"/>
  <c r="D19" i="13"/>
  <c r="D15" i="13"/>
  <c r="E15" i="13"/>
  <c r="D16" i="13"/>
  <c r="E16" i="13"/>
  <c r="D17" i="13"/>
  <c r="E17" i="13"/>
  <c r="D18" i="13"/>
  <c r="E18" i="13"/>
  <c r="E14" i="13"/>
  <c r="D14" i="13"/>
  <c r="D12" i="13"/>
  <c r="E12" i="13"/>
  <c r="D13" i="13"/>
  <c r="E13" i="13"/>
  <c r="E11" i="13"/>
  <c r="D11" i="13"/>
  <c r="E10" i="13"/>
  <c r="D7" i="13"/>
  <c r="E7" i="13"/>
  <c r="D8" i="13"/>
  <c r="E8" i="13"/>
  <c r="D9" i="13"/>
  <c r="E9" i="13"/>
  <c r="D10" i="13"/>
  <c r="E6" i="13"/>
  <c r="F48" i="13" l="1"/>
  <c r="G48" i="13"/>
  <c r="G49" i="13"/>
  <c r="F49" i="13"/>
  <c r="F43" i="13"/>
  <c r="G43" i="13"/>
  <c r="F46" i="13"/>
  <c r="G46" i="13"/>
  <c r="G45" i="13"/>
  <c r="F45" i="13"/>
  <c r="G44" i="13"/>
  <c r="F44" i="13"/>
  <c r="F47" i="13"/>
  <c r="G47" i="13"/>
  <c r="F42" i="13"/>
  <c r="G42" i="13"/>
  <c r="G40" i="13"/>
  <c r="F40" i="13"/>
  <c r="F38" i="13"/>
  <c r="G38" i="13"/>
  <c r="G41" i="13"/>
  <c r="F41" i="13"/>
  <c r="G39" i="13"/>
  <c r="F39" i="13"/>
  <c r="G37" i="13"/>
  <c r="F37" i="13"/>
  <c r="F36" i="13"/>
  <c r="G36" i="13"/>
  <c r="F34" i="13"/>
  <c r="G34" i="13"/>
  <c r="F32" i="13"/>
  <c r="G32" i="13"/>
  <c r="G35" i="13"/>
  <c r="F35" i="13"/>
  <c r="G33" i="13"/>
  <c r="F33" i="13"/>
  <c r="F31" i="13"/>
  <c r="G31" i="13"/>
  <c r="F30" i="13"/>
  <c r="G30" i="13"/>
  <c r="G28" i="13"/>
  <c r="F28" i="13"/>
  <c r="G29" i="13"/>
  <c r="F29" i="13"/>
  <c r="G27" i="13"/>
  <c r="F27" i="13"/>
  <c r="F26" i="13"/>
  <c r="G26" i="13"/>
  <c r="G25" i="13"/>
  <c r="F25" i="13"/>
  <c r="F24" i="13"/>
  <c r="G24" i="13"/>
  <c r="F20" i="13"/>
  <c r="G20" i="13"/>
  <c r="F23" i="13"/>
  <c r="G23" i="13"/>
  <c r="G21" i="13"/>
  <c r="F21" i="13"/>
  <c r="F22" i="13"/>
  <c r="G22" i="13"/>
  <c r="F19" i="13"/>
  <c r="G19" i="13"/>
  <c r="G17" i="13"/>
  <c r="F17" i="13"/>
  <c r="G14" i="13"/>
  <c r="F14" i="13"/>
  <c r="G16" i="13"/>
  <c r="F16" i="13"/>
  <c r="G15" i="13"/>
  <c r="F15" i="13"/>
  <c r="G18" i="13"/>
  <c r="F18" i="13"/>
  <c r="G13" i="13"/>
  <c r="F13" i="13"/>
  <c r="F12" i="13"/>
  <c r="G12" i="13"/>
  <c r="F11" i="13"/>
  <c r="G11" i="13"/>
  <c r="F9" i="13"/>
  <c r="G9" i="13"/>
  <c r="G7" i="13"/>
  <c r="F7" i="13"/>
  <c r="G6" i="13"/>
  <c r="F6" i="13"/>
  <c r="F8" i="13"/>
  <c r="G8" i="13"/>
  <c r="G10" i="13"/>
  <c r="F10" i="13"/>
  <c r="D50" i="13"/>
  <c r="D51" i="13" s="1"/>
  <c r="E50" i="13"/>
  <c r="E51" i="13" l="1"/>
  <c r="G50" i="13"/>
  <c r="F50" i="13"/>
  <c r="F151" i="4"/>
  <c r="D90" i="14" s="1"/>
  <c r="D176" i="14"/>
  <c r="G51" i="13" l="1"/>
  <c r="F51" i="13"/>
  <c r="C176" i="14"/>
  <c r="B176" i="14"/>
  <c r="D138" i="13"/>
  <c r="E138" i="13"/>
  <c r="B138" i="13"/>
  <c r="D137" i="13"/>
  <c r="E137" i="13"/>
  <c r="D136" i="13"/>
  <c r="E136" i="13"/>
  <c r="D135" i="13"/>
  <c r="E135" i="13"/>
  <c r="D134" i="13"/>
  <c r="E134" i="13"/>
  <c r="D133" i="13"/>
  <c r="E133" i="13"/>
  <c r="D132" i="13"/>
  <c r="E132" i="13"/>
  <c r="D131" i="13"/>
  <c r="E131" i="13"/>
  <c r="D130" i="13"/>
  <c r="E130" i="13"/>
  <c r="D129" i="13"/>
  <c r="E129" i="13"/>
  <c r="D128" i="13"/>
  <c r="E128" i="13"/>
  <c r="D127" i="13"/>
  <c r="E127" i="13"/>
  <c r="E125" i="13"/>
  <c r="D116" i="13"/>
  <c r="E116" i="13"/>
  <c r="D104" i="13"/>
  <c r="E104" i="13"/>
  <c r="D103" i="13"/>
  <c r="E103" i="13"/>
  <c r="D54" i="13"/>
  <c r="E54" i="13"/>
  <c r="D98" i="13"/>
  <c r="E98" i="13"/>
  <c r="D97" i="13"/>
  <c r="E97" i="13"/>
  <c r="D96" i="13"/>
  <c r="E96" i="13"/>
  <c r="D59" i="13"/>
  <c r="E59" i="13"/>
  <c r="D60" i="13"/>
  <c r="E60" i="13"/>
  <c r="D61" i="13"/>
  <c r="E61" i="13"/>
  <c r="D62" i="13"/>
  <c r="E62" i="13"/>
  <c r="D63" i="13"/>
  <c r="E63" i="13"/>
  <c r="D64" i="13"/>
  <c r="E64" i="13"/>
  <c r="D65" i="13"/>
  <c r="E65" i="13"/>
  <c r="D66" i="13"/>
  <c r="E66" i="13"/>
  <c r="D67" i="13"/>
  <c r="E67" i="13"/>
  <c r="D68" i="13"/>
  <c r="E68" i="13"/>
  <c r="D69" i="13"/>
  <c r="E69" i="13"/>
  <c r="D70" i="13"/>
  <c r="E70" i="13"/>
  <c r="D71" i="13"/>
  <c r="E71" i="13"/>
  <c r="D72" i="13"/>
  <c r="E72" i="13"/>
  <c r="D73" i="13"/>
  <c r="E73" i="13"/>
  <c r="D74" i="13"/>
  <c r="E74" i="13"/>
  <c r="D77" i="13"/>
  <c r="E77" i="13"/>
  <c r="D78" i="13"/>
  <c r="E78" i="13"/>
  <c r="D79" i="13"/>
  <c r="E79" i="13"/>
  <c r="D80" i="13"/>
  <c r="E80" i="13"/>
  <c r="D81" i="13"/>
  <c r="E81" i="13"/>
  <c r="D82" i="13"/>
  <c r="E82" i="13"/>
  <c r="D83" i="13"/>
  <c r="E83" i="13"/>
  <c r="D84" i="13"/>
  <c r="E84" i="13"/>
  <c r="D85" i="13"/>
  <c r="E85" i="13"/>
  <c r="D86" i="13"/>
  <c r="E86" i="13"/>
  <c r="D87" i="13"/>
  <c r="E87" i="13"/>
  <c r="D88" i="13"/>
  <c r="E88" i="13"/>
  <c r="D89" i="13"/>
  <c r="E89" i="13"/>
  <c r="D90" i="13"/>
  <c r="E90" i="13"/>
  <c r="D91" i="13"/>
  <c r="E91" i="13"/>
  <c r="D92" i="13"/>
  <c r="E92" i="13"/>
  <c r="C92" i="13"/>
  <c r="B92" i="13"/>
  <c r="D12" i="14"/>
  <c r="C12" i="14"/>
  <c r="B12" i="14"/>
  <c r="C90" i="14"/>
  <c r="B90" i="14"/>
  <c r="B95" i="14"/>
  <c r="C95" i="14"/>
  <c r="F247" i="4"/>
  <c r="F132" i="13" l="1"/>
  <c r="G132" i="13"/>
  <c r="F134" i="13"/>
  <c r="G134" i="13"/>
  <c r="F136" i="13"/>
  <c r="G136" i="13"/>
  <c r="F138" i="13"/>
  <c r="G138" i="13"/>
  <c r="F133" i="13"/>
  <c r="G133" i="13"/>
  <c r="G135" i="13"/>
  <c r="F135" i="13"/>
  <c r="F137" i="13"/>
  <c r="G137" i="13"/>
  <c r="G128" i="13"/>
  <c r="F128" i="13"/>
  <c r="G130" i="13"/>
  <c r="F130" i="13"/>
  <c r="F125" i="13"/>
  <c r="G125" i="13"/>
  <c r="F127" i="13"/>
  <c r="G127" i="13"/>
  <c r="F129" i="13"/>
  <c r="G129" i="13"/>
  <c r="F131" i="13"/>
  <c r="G131" i="13"/>
  <c r="G116" i="13"/>
  <c r="F116" i="13"/>
  <c r="G104" i="13"/>
  <c r="F104" i="13"/>
  <c r="G103" i="13"/>
  <c r="F103" i="13"/>
  <c r="G98" i="13"/>
  <c r="F98" i="13"/>
  <c r="F97" i="13"/>
  <c r="G97" i="13"/>
  <c r="G96" i="13"/>
  <c r="F96" i="13"/>
  <c r="F80" i="13"/>
  <c r="G80" i="13"/>
  <c r="F78" i="13"/>
  <c r="G78" i="13"/>
  <c r="F92" i="13"/>
  <c r="G92" i="13"/>
  <c r="F90" i="13"/>
  <c r="G90" i="13"/>
  <c r="F86" i="13"/>
  <c r="G86" i="13"/>
  <c r="F84" i="13"/>
  <c r="G84" i="13"/>
  <c r="F82" i="13"/>
  <c r="G82" i="13"/>
  <c r="G91" i="13"/>
  <c r="F91" i="13"/>
  <c r="F89" i="13"/>
  <c r="G89" i="13"/>
  <c r="G87" i="13"/>
  <c r="F87" i="13"/>
  <c r="F85" i="13"/>
  <c r="G85" i="13"/>
  <c r="G79" i="13"/>
  <c r="F79" i="13"/>
  <c r="F88" i="13"/>
  <c r="G88" i="13"/>
  <c r="G83" i="13"/>
  <c r="F83" i="13"/>
  <c r="F81" i="13"/>
  <c r="G81" i="13"/>
  <c r="F77" i="13"/>
  <c r="G77" i="13"/>
  <c r="G74" i="13"/>
  <c r="F74" i="13"/>
  <c r="F70" i="13"/>
  <c r="G70" i="13"/>
  <c r="F66" i="13"/>
  <c r="G66" i="13"/>
  <c r="G68" i="13"/>
  <c r="F68" i="13"/>
  <c r="G72" i="13"/>
  <c r="F72" i="13"/>
  <c r="F73" i="13"/>
  <c r="G73" i="13"/>
  <c r="G71" i="13"/>
  <c r="F71" i="13"/>
  <c r="F65" i="13"/>
  <c r="G65" i="13"/>
  <c r="F69" i="13"/>
  <c r="G69" i="13"/>
  <c r="G67" i="13"/>
  <c r="F67" i="13"/>
  <c r="F64" i="13"/>
  <c r="G64" i="13"/>
  <c r="G62" i="13"/>
  <c r="F62" i="13"/>
  <c r="F60" i="13"/>
  <c r="G60" i="13"/>
  <c r="G63" i="13"/>
  <c r="F63" i="13"/>
  <c r="F61" i="13"/>
  <c r="G61" i="13"/>
  <c r="G59" i="13"/>
  <c r="F59" i="13"/>
  <c r="G54" i="13"/>
  <c r="F54" i="13"/>
  <c r="D141" i="13"/>
  <c r="D153" i="13" s="1"/>
  <c r="E141" i="13"/>
  <c r="F244" i="4"/>
  <c r="D99" i="13"/>
  <c r="E99" i="13"/>
  <c r="E253" i="14"/>
  <c r="E153" i="13" l="1"/>
  <c r="F141" i="13"/>
  <c r="G141" i="13"/>
  <c r="G99" i="13"/>
  <c r="F99" i="13"/>
  <c r="B9" i="9"/>
  <c r="B5" i="13"/>
  <c r="B4" i="13"/>
  <c r="G153" i="13" l="1"/>
  <c r="F153" i="13"/>
  <c r="C184" i="14"/>
  <c r="C185" i="14"/>
  <c r="B183" i="14"/>
  <c r="B184" i="14"/>
  <c r="B185" i="14"/>
  <c r="D183" i="14" l="1"/>
  <c r="D13" i="14"/>
  <c r="G225" i="7"/>
  <c r="G112" i="7"/>
  <c r="D84" i="14" l="1"/>
  <c r="F313" i="4"/>
  <c r="F204" i="4"/>
  <c r="G228" i="7"/>
  <c r="F99" i="6" l="1"/>
  <c r="G99" i="6"/>
  <c r="C158" i="14"/>
  <c r="C135" i="14"/>
  <c r="C66" i="12"/>
  <c r="H99" i="6" l="1"/>
  <c r="I99" i="6"/>
  <c r="B137" i="13"/>
  <c r="E252" i="14"/>
  <c r="F252" i="14"/>
  <c r="G252" i="14"/>
  <c r="F383" i="4"/>
  <c r="F190" i="4"/>
  <c r="D46" i="12" s="1"/>
  <c r="D47" i="12" s="1"/>
  <c r="F184" i="4"/>
  <c r="F185" i="4" s="1"/>
  <c r="D44" i="12" s="1"/>
  <c r="D45" i="12" s="1"/>
  <c r="C11" i="10" s="1"/>
  <c r="C12" i="10" l="1"/>
  <c r="C21" i="11"/>
  <c r="C85" i="12"/>
  <c r="C209" i="14"/>
  <c r="C5" i="12"/>
  <c r="C125" i="13"/>
  <c r="C127" i="13"/>
  <c r="C128" i="13"/>
  <c r="C129" i="13"/>
  <c r="C131" i="13"/>
  <c r="C132" i="13"/>
  <c r="C133" i="13"/>
  <c r="C135" i="13"/>
  <c r="B136" i="13"/>
  <c r="B129" i="13"/>
  <c r="B130" i="13"/>
  <c r="B131" i="13"/>
  <c r="B209" i="14"/>
  <c r="E195" i="14"/>
  <c r="F195" i="14"/>
  <c r="E196" i="14"/>
  <c r="G196" i="14"/>
  <c r="E197" i="14"/>
  <c r="F197" i="14"/>
  <c r="G197" i="14"/>
  <c r="E198" i="14"/>
  <c r="F198" i="14"/>
  <c r="G198" i="14"/>
  <c r="E199" i="14"/>
  <c r="F199" i="14"/>
  <c r="G199" i="14"/>
  <c r="E200" i="14"/>
  <c r="F200" i="14"/>
  <c r="G200" i="14"/>
  <c r="E201" i="14"/>
  <c r="F201" i="14"/>
  <c r="G201" i="14"/>
  <c r="E202" i="14"/>
  <c r="F202" i="14"/>
  <c r="G202" i="14"/>
  <c r="C183" i="14"/>
  <c r="C190" i="14"/>
  <c r="B190" i="14"/>
  <c r="C156" i="14"/>
  <c r="B156" i="14"/>
  <c r="C17" i="14"/>
  <c r="E248" i="14"/>
  <c r="F248" i="14"/>
  <c r="G248" i="14"/>
  <c r="E249" i="14"/>
  <c r="F249" i="14"/>
  <c r="G249" i="14"/>
  <c r="E250" i="14"/>
  <c r="F250" i="14"/>
  <c r="G250" i="14"/>
  <c r="E251" i="14"/>
  <c r="F251" i="14"/>
  <c r="G251" i="14"/>
  <c r="G240" i="14"/>
  <c r="E242" i="14"/>
  <c r="F242" i="14"/>
  <c r="G242" i="14"/>
  <c r="E243" i="14"/>
  <c r="F243" i="14"/>
  <c r="G243" i="14"/>
  <c r="E244" i="14"/>
  <c r="F244" i="14"/>
  <c r="G244" i="14"/>
  <c r="E245" i="14"/>
  <c r="F245" i="14"/>
  <c r="G245" i="14"/>
  <c r="E246" i="14"/>
  <c r="F246" i="14"/>
  <c r="G246" i="14"/>
  <c r="F374" i="4"/>
  <c r="D244" i="14" s="1"/>
  <c r="F375" i="4"/>
  <c r="D245" i="14" s="1"/>
  <c r="F376" i="4"/>
  <c r="D246" i="14" s="1"/>
  <c r="D251" i="14"/>
  <c r="G348" i="4"/>
  <c r="E212" i="14"/>
  <c r="F212" i="14"/>
  <c r="G212" i="14"/>
  <c r="E219" i="14"/>
  <c r="F219" i="14"/>
  <c r="G219" i="14"/>
  <c r="E213" i="14"/>
  <c r="F213" i="14"/>
  <c r="G213" i="14"/>
  <c r="E214" i="14"/>
  <c r="F214" i="14"/>
  <c r="G214" i="14"/>
  <c r="E215" i="14"/>
  <c r="F215" i="14"/>
  <c r="G215" i="14"/>
  <c r="E216" i="14"/>
  <c r="F216" i="14"/>
  <c r="G216" i="14"/>
  <c r="E217" i="14"/>
  <c r="F217" i="14"/>
  <c r="G217" i="14"/>
  <c r="E79" i="14"/>
  <c r="F79" i="14"/>
  <c r="G79" i="14"/>
  <c r="E53" i="14"/>
  <c r="F53" i="14"/>
  <c r="G53" i="14"/>
  <c r="F86" i="4"/>
  <c r="D53" i="14" s="1"/>
  <c r="G258" i="7"/>
  <c r="G181" i="7"/>
  <c r="G122" i="7"/>
  <c r="G127" i="7" s="1"/>
  <c r="F209" i="14"/>
  <c r="G209" i="14"/>
  <c r="F326" i="4"/>
  <c r="F327" i="4" s="1"/>
  <c r="E207" i="14"/>
  <c r="G207" i="14"/>
  <c r="E208" i="14"/>
  <c r="F208" i="14"/>
  <c r="G208" i="14"/>
  <c r="E203" i="14"/>
  <c r="F203" i="14"/>
  <c r="G203" i="14"/>
  <c r="E204" i="14"/>
  <c r="F204" i="14"/>
  <c r="G204" i="14"/>
  <c r="F295" i="4"/>
  <c r="D190" i="14" s="1"/>
  <c r="E161" i="14"/>
  <c r="F161" i="14"/>
  <c r="G161" i="14"/>
  <c r="E162" i="14"/>
  <c r="F162" i="14"/>
  <c r="G162" i="14"/>
  <c r="G158" i="14"/>
  <c r="F250" i="4"/>
  <c r="F251" i="4" s="1"/>
  <c r="F157" i="14"/>
  <c r="E155" i="14"/>
  <c r="F155" i="14"/>
  <c r="G155" i="14"/>
  <c r="F156" i="14"/>
  <c r="G156" i="14"/>
  <c r="D156" i="14"/>
  <c r="G238" i="4"/>
  <c r="I238" i="4"/>
  <c r="F145" i="14"/>
  <c r="G145" i="14"/>
  <c r="E146" i="14"/>
  <c r="F146" i="14"/>
  <c r="G146" i="14"/>
  <c r="E147" i="14"/>
  <c r="F147" i="14"/>
  <c r="G147" i="14"/>
  <c r="E148" i="14"/>
  <c r="F148" i="14"/>
  <c r="G148" i="14"/>
  <c r="E149" i="14"/>
  <c r="F149" i="14"/>
  <c r="G149" i="14"/>
  <c r="F139" i="14"/>
  <c r="G139" i="14"/>
  <c r="E140" i="14"/>
  <c r="F140" i="14"/>
  <c r="G140" i="14"/>
  <c r="E141" i="14"/>
  <c r="F141" i="14"/>
  <c r="G141" i="14"/>
  <c r="F135" i="14"/>
  <c r="G135" i="14"/>
  <c r="E136" i="14"/>
  <c r="F136" i="14"/>
  <c r="G136" i="14"/>
  <c r="F126" i="14"/>
  <c r="G126" i="14"/>
  <c r="E127" i="14"/>
  <c r="F127" i="14"/>
  <c r="G127" i="14"/>
  <c r="E128" i="14"/>
  <c r="F128" i="14"/>
  <c r="G128" i="14"/>
  <c r="E129" i="14"/>
  <c r="F129" i="14"/>
  <c r="G129" i="14"/>
  <c r="E130" i="14"/>
  <c r="F130" i="14"/>
  <c r="G130" i="14"/>
  <c r="E131" i="14"/>
  <c r="F131" i="14"/>
  <c r="G131" i="14"/>
  <c r="F206" i="4"/>
  <c r="G375" i="7"/>
  <c r="F48" i="12"/>
  <c r="G190" i="4"/>
  <c r="H190" i="4"/>
  <c r="E93" i="14"/>
  <c r="F93" i="14"/>
  <c r="G93" i="14"/>
  <c r="E94" i="14"/>
  <c r="F94" i="14"/>
  <c r="G94" i="14"/>
  <c r="E95" i="14"/>
  <c r="F95" i="14"/>
  <c r="G95" i="14"/>
  <c r="E96" i="14"/>
  <c r="F96" i="14"/>
  <c r="G96" i="14"/>
  <c r="E97" i="14"/>
  <c r="F97" i="14"/>
  <c r="G97" i="14"/>
  <c r="E98" i="14"/>
  <c r="F98" i="14"/>
  <c r="G98" i="14"/>
  <c r="E100" i="14"/>
  <c r="F100" i="14"/>
  <c r="G100" i="14"/>
  <c r="E101" i="14"/>
  <c r="F101" i="14"/>
  <c r="G101" i="14"/>
  <c r="E102" i="14"/>
  <c r="F102" i="14"/>
  <c r="G102" i="14"/>
  <c r="E103" i="14"/>
  <c r="F103" i="14"/>
  <c r="G103" i="14"/>
  <c r="F104" i="14"/>
  <c r="G104" i="14"/>
  <c r="E105" i="14"/>
  <c r="F105" i="14"/>
  <c r="G105" i="14"/>
  <c r="E106" i="14"/>
  <c r="F106" i="14"/>
  <c r="G106" i="14"/>
  <c r="E107" i="14"/>
  <c r="F107" i="14"/>
  <c r="G107" i="14"/>
  <c r="E108" i="14"/>
  <c r="F108" i="14"/>
  <c r="G108" i="14"/>
  <c r="E109" i="14"/>
  <c r="F109" i="14"/>
  <c r="G109" i="14"/>
  <c r="E110" i="14"/>
  <c r="F110" i="14"/>
  <c r="G110" i="14"/>
  <c r="E111" i="14"/>
  <c r="F111" i="14"/>
  <c r="G111" i="14"/>
  <c r="E112" i="14"/>
  <c r="F112" i="14"/>
  <c r="G112" i="14"/>
  <c r="G185" i="4"/>
  <c r="I185" i="4"/>
  <c r="E86" i="14"/>
  <c r="G86" i="14"/>
  <c r="E87" i="14"/>
  <c r="F87" i="14"/>
  <c r="G87" i="14"/>
  <c r="E88" i="14"/>
  <c r="F88" i="14"/>
  <c r="G88" i="14"/>
  <c r="E84" i="14"/>
  <c r="F84" i="14"/>
  <c r="G84" i="14"/>
  <c r="E85" i="14"/>
  <c r="F85" i="14"/>
  <c r="G85" i="14"/>
  <c r="G81" i="14"/>
  <c r="E82" i="14"/>
  <c r="F82" i="14"/>
  <c r="G82" i="14"/>
  <c r="E83" i="14"/>
  <c r="F83" i="14"/>
  <c r="G83" i="14"/>
  <c r="G134" i="4"/>
  <c r="J134" i="4" s="1"/>
  <c r="F78" i="14"/>
  <c r="G78" i="14"/>
  <c r="E80" i="14"/>
  <c r="G80" i="14"/>
  <c r="G75" i="14"/>
  <c r="E76" i="14"/>
  <c r="F76" i="14"/>
  <c r="G76" i="14"/>
  <c r="E77" i="14"/>
  <c r="F77" i="14"/>
  <c r="G77" i="14"/>
  <c r="F127" i="4"/>
  <c r="F128" i="4"/>
  <c r="F126" i="4"/>
  <c r="E68" i="14"/>
  <c r="G68" i="14"/>
  <c r="E69" i="14"/>
  <c r="F69" i="14"/>
  <c r="G69" i="14"/>
  <c r="E70" i="14"/>
  <c r="F70" i="14"/>
  <c r="G70" i="14"/>
  <c r="E71" i="14"/>
  <c r="F71" i="14"/>
  <c r="G71" i="14"/>
  <c r="E72" i="14"/>
  <c r="G72" i="14"/>
  <c r="E73" i="14"/>
  <c r="F73" i="14"/>
  <c r="G73" i="14"/>
  <c r="E74" i="14"/>
  <c r="F74" i="14"/>
  <c r="G74" i="14"/>
  <c r="G113" i="4"/>
  <c r="E30" i="12" s="1"/>
  <c r="H113" i="4"/>
  <c r="G110" i="4"/>
  <c r="E29" i="12" s="1"/>
  <c r="I110" i="4"/>
  <c r="G29" i="12" s="1"/>
  <c r="F63" i="14"/>
  <c r="G28" i="12"/>
  <c r="E61" i="14"/>
  <c r="F61" i="14"/>
  <c r="G61" i="14"/>
  <c r="E62" i="14"/>
  <c r="F62" i="14"/>
  <c r="G62" i="14"/>
  <c r="G100" i="4"/>
  <c r="E26" i="12" s="1"/>
  <c r="H100" i="4"/>
  <c r="G97" i="4"/>
  <c r="E25" i="12" s="1"/>
  <c r="I97" i="4"/>
  <c r="G25" i="12" s="1"/>
  <c r="H94" i="4"/>
  <c r="I94" i="4"/>
  <c r="G24" i="12" s="1"/>
  <c r="E55" i="14"/>
  <c r="F55" i="14"/>
  <c r="G55" i="14"/>
  <c r="E56" i="14"/>
  <c r="F56" i="14"/>
  <c r="G56" i="14"/>
  <c r="E57" i="14"/>
  <c r="F57" i="14"/>
  <c r="G57" i="14"/>
  <c r="G82" i="4"/>
  <c r="E21" i="12" s="1"/>
  <c r="H82" i="4"/>
  <c r="I82" i="4"/>
  <c r="G21" i="12" s="1"/>
  <c r="E48" i="14"/>
  <c r="F48" i="14"/>
  <c r="G48" i="14"/>
  <c r="E49" i="14"/>
  <c r="F49" i="14"/>
  <c r="G49" i="14"/>
  <c r="E45" i="14"/>
  <c r="F45" i="14"/>
  <c r="G45" i="14"/>
  <c r="E46" i="14"/>
  <c r="F46" i="14"/>
  <c r="G46" i="14"/>
  <c r="E42" i="14"/>
  <c r="F42" i="14"/>
  <c r="G42" i="14"/>
  <c r="E43" i="14"/>
  <c r="F43" i="14"/>
  <c r="G43" i="14"/>
  <c r="E44" i="14"/>
  <c r="F44" i="14"/>
  <c r="G44" i="14"/>
  <c r="E41" i="14"/>
  <c r="F41" i="14"/>
  <c r="G41" i="14"/>
  <c r="E36" i="14"/>
  <c r="F36" i="14"/>
  <c r="G36" i="14"/>
  <c r="E37" i="14"/>
  <c r="F37" i="14"/>
  <c r="G37" i="14"/>
  <c r="E38" i="14"/>
  <c r="F38" i="14"/>
  <c r="G38" i="14"/>
  <c r="E39" i="14"/>
  <c r="F39" i="14"/>
  <c r="G39" i="14"/>
  <c r="E33" i="14"/>
  <c r="G33" i="14"/>
  <c r="E34" i="14"/>
  <c r="F34" i="14"/>
  <c r="G34" i="14"/>
  <c r="E35" i="14"/>
  <c r="F35" i="14"/>
  <c r="G35" i="14"/>
  <c r="F52" i="4"/>
  <c r="G48" i="4"/>
  <c r="I48" i="4"/>
  <c r="G13" i="12" s="1"/>
  <c r="H45" i="4"/>
  <c r="I45" i="4"/>
  <c r="G12" i="12" s="1"/>
  <c r="G42" i="4"/>
  <c r="E11" i="12" s="1"/>
  <c r="F28" i="14"/>
  <c r="I42" i="4"/>
  <c r="G11" i="12" s="1"/>
  <c r="G39" i="4"/>
  <c r="E10" i="12" s="1"/>
  <c r="H39" i="4"/>
  <c r="I39" i="4"/>
  <c r="G10" i="12" s="1"/>
  <c r="F9" i="12"/>
  <c r="I36" i="4"/>
  <c r="G9" i="12" s="1"/>
  <c r="F23" i="4"/>
  <c r="F24" i="4"/>
  <c r="F25" i="4"/>
  <c r="F22" i="4"/>
  <c r="F7" i="4"/>
  <c r="D6" i="14" s="1"/>
  <c r="F8" i="4"/>
  <c r="F9" i="4"/>
  <c r="F128" i="6"/>
  <c r="F131" i="6"/>
  <c r="F134" i="6"/>
  <c r="F46" i="12" l="1"/>
  <c r="F47" i="12" s="1"/>
  <c r="J190" i="4"/>
  <c r="F12" i="12"/>
  <c r="F26" i="12"/>
  <c r="J100" i="4"/>
  <c r="F30" i="12"/>
  <c r="J113" i="4"/>
  <c r="F10" i="12"/>
  <c r="J39" i="4"/>
  <c r="E13" i="12"/>
  <c r="J48" i="4"/>
  <c r="G186" i="4"/>
  <c r="J185" i="4"/>
  <c r="F21" i="12"/>
  <c r="J82" i="4"/>
  <c r="G163" i="14"/>
  <c r="F163" i="14"/>
  <c r="H163" i="14" s="1"/>
  <c r="E163" i="14"/>
  <c r="G48" i="12"/>
  <c r="G49" i="12" s="1"/>
  <c r="F13" i="10" s="1"/>
  <c r="I196" i="4"/>
  <c r="G388" i="4"/>
  <c r="E106" i="12" s="1"/>
  <c r="I388" i="4"/>
  <c r="G106" i="12" s="1"/>
  <c r="H388" i="4"/>
  <c r="F24" i="12"/>
  <c r="F49" i="12"/>
  <c r="E220" i="14"/>
  <c r="D17" i="14"/>
  <c r="F26" i="4"/>
  <c r="E205" i="14"/>
  <c r="G143" i="14"/>
  <c r="F143" i="14"/>
  <c r="H143" i="14" s="1"/>
  <c r="G133" i="14"/>
  <c r="F133" i="14"/>
  <c r="H133" i="14" s="1"/>
  <c r="G268" i="4"/>
  <c r="F167" i="14"/>
  <c r="H268" i="4"/>
  <c r="I268" i="4"/>
  <c r="G167" i="14"/>
  <c r="F129" i="4"/>
  <c r="E81" i="14"/>
  <c r="G139" i="4"/>
  <c r="G38" i="12"/>
  <c r="E89" i="14"/>
  <c r="E38" i="12"/>
  <c r="H20" i="4"/>
  <c r="F68" i="14"/>
  <c r="F38" i="12"/>
  <c r="F6" i="12"/>
  <c r="F7" i="12"/>
  <c r="E75" i="14"/>
  <c r="G129" i="4"/>
  <c r="F86" i="14"/>
  <c r="F37" i="12"/>
  <c r="E135" i="14"/>
  <c r="E137" i="14" s="1"/>
  <c r="G216" i="4"/>
  <c r="E156" i="14"/>
  <c r="G244" i="4"/>
  <c r="F207" i="14"/>
  <c r="F70" i="12"/>
  <c r="F75" i="14"/>
  <c r="F33" i="12"/>
  <c r="E78" i="14"/>
  <c r="F81" i="14"/>
  <c r="F35" i="12"/>
  <c r="E104" i="14"/>
  <c r="E113" i="14" s="1"/>
  <c r="G180" i="4"/>
  <c r="G168" i="14"/>
  <c r="G70" i="12"/>
  <c r="F33" i="14"/>
  <c r="E126" i="14"/>
  <c r="E133" i="14" s="1"/>
  <c r="G207" i="4"/>
  <c r="E139" i="14"/>
  <c r="E143" i="14" s="1"/>
  <c r="E145" i="14"/>
  <c r="E150" i="14" s="1"/>
  <c r="G233" i="4"/>
  <c r="J233" i="4" s="1"/>
  <c r="F80" i="14"/>
  <c r="F34" i="12"/>
  <c r="F72" i="14"/>
  <c r="E24" i="14"/>
  <c r="G24" i="14"/>
  <c r="F193" i="14"/>
  <c r="H193" i="14" s="1"/>
  <c r="H289" i="4"/>
  <c r="G193" i="14"/>
  <c r="I289" i="4"/>
  <c r="G76" i="12" s="1"/>
  <c r="G191" i="4"/>
  <c r="E46" i="12"/>
  <c r="G289" i="4"/>
  <c r="E76" i="12" s="1"/>
  <c r="G14" i="12"/>
  <c r="F6" i="10" s="1"/>
  <c r="H327" i="4"/>
  <c r="I327" i="4"/>
  <c r="H247" i="4"/>
  <c r="H42" i="4"/>
  <c r="H107" i="4"/>
  <c r="I343" i="4"/>
  <c r="G89" i="12" s="1"/>
  <c r="H343" i="4"/>
  <c r="G343" i="4"/>
  <c r="E89" i="12" s="1"/>
  <c r="F168" i="14"/>
  <c r="F58" i="14"/>
  <c r="F121" i="14"/>
  <c r="F122" i="14" s="1"/>
  <c r="H122" i="14" s="1"/>
  <c r="E222" i="14"/>
  <c r="E223" i="14" s="1"/>
  <c r="G30" i="14"/>
  <c r="G26" i="14"/>
  <c r="E59" i="14"/>
  <c r="E118" i="14"/>
  <c r="E119" i="14" s="1"/>
  <c r="E28" i="14"/>
  <c r="G64" i="14"/>
  <c r="F73" i="12"/>
  <c r="F65" i="14"/>
  <c r="G306" i="4"/>
  <c r="G45" i="4"/>
  <c r="E12" i="12" s="1"/>
  <c r="E29" i="14"/>
  <c r="G94" i="4"/>
  <c r="E24" i="12" s="1"/>
  <c r="E58" i="14"/>
  <c r="H97" i="4"/>
  <c r="F59" i="14"/>
  <c r="I100" i="4"/>
  <c r="G26" i="12" s="1"/>
  <c r="G60" i="14"/>
  <c r="G107" i="4"/>
  <c r="E28" i="12" s="1"/>
  <c r="E63" i="14"/>
  <c r="H110" i="4"/>
  <c r="F64" i="14"/>
  <c r="I113" i="4"/>
  <c r="G30" i="12" s="1"/>
  <c r="G65" i="14"/>
  <c r="F115" i="14"/>
  <c r="F116" i="14" s="1"/>
  <c r="H116" i="14" s="1"/>
  <c r="I190" i="4"/>
  <c r="G46" i="12" s="1"/>
  <c r="G47" i="12" s="1"/>
  <c r="G118" i="14"/>
  <c r="G119" i="14" s="1"/>
  <c r="E48" i="12"/>
  <c r="E121" i="14"/>
  <c r="E122" i="14" s="1"/>
  <c r="H238" i="4"/>
  <c r="F152" i="14"/>
  <c r="F153" i="14" s="1"/>
  <c r="H153" i="14" s="1"/>
  <c r="I247" i="4"/>
  <c r="G63" i="12" s="1"/>
  <c r="G157" i="14"/>
  <c r="G159" i="14" s="1"/>
  <c r="G250" i="4"/>
  <c r="E64" i="12"/>
  <c r="E158" i="14"/>
  <c r="H348" i="4"/>
  <c r="F222" i="14"/>
  <c r="F223" i="14" s="1"/>
  <c r="H223" i="14" s="1"/>
  <c r="G377" i="4"/>
  <c r="E240" i="14"/>
  <c r="F247" i="14"/>
  <c r="G36" i="4"/>
  <c r="E26" i="14"/>
  <c r="F30" i="14"/>
  <c r="E167" i="14"/>
  <c r="F27" i="14"/>
  <c r="F196" i="14"/>
  <c r="H306" i="4"/>
  <c r="I306" i="4"/>
  <c r="G195" i="14"/>
  <c r="H191" i="4"/>
  <c r="E12" i="10"/>
  <c r="G239" i="4"/>
  <c r="E60" i="12"/>
  <c r="E61" i="12" s="1"/>
  <c r="D20" i="10" s="1"/>
  <c r="G349" i="4"/>
  <c r="E91" i="12"/>
  <c r="E92" i="12" s="1"/>
  <c r="D33" i="10" s="1"/>
  <c r="G29" i="14"/>
  <c r="E27" i="14"/>
  <c r="F26" i="14"/>
  <c r="G50" i="14"/>
  <c r="E65" i="14"/>
  <c r="G63" i="14"/>
  <c r="G89" i="14"/>
  <c r="G91" i="14" s="1"/>
  <c r="G115" i="14"/>
  <c r="G116" i="14" s="1"/>
  <c r="G152" i="14"/>
  <c r="G153" i="14" s="1"/>
  <c r="I244" i="4"/>
  <c r="G62" i="12" s="1"/>
  <c r="I186" i="4"/>
  <c r="G44" i="12"/>
  <c r="G45" i="12" s="1"/>
  <c r="F11" i="10" s="1"/>
  <c r="I239" i="4"/>
  <c r="G60" i="12"/>
  <c r="G61" i="12" s="1"/>
  <c r="F20" i="10" s="1"/>
  <c r="H250" i="4"/>
  <c r="F64" i="12"/>
  <c r="D85" i="12"/>
  <c r="D209" i="14"/>
  <c r="G327" i="4"/>
  <c r="E209" i="14"/>
  <c r="E210" i="14" s="1"/>
  <c r="I348" i="4"/>
  <c r="G222" i="14"/>
  <c r="G223" i="14" s="1"/>
  <c r="G247" i="14"/>
  <c r="G256" i="14" s="1"/>
  <c r="G268" i="14" s="1"/>
  <c r="G73" i="12"/>
  <c r="I377" i="4"/>
  <c r="H377" i="4"/>
  <c r="G27" i="14"/>
  <c r="E50" i="14"/>
  <c r="E51" i="14" s="1"/>
  <c r="E60" i="14"/>
  <c r="G58" i="14"/>
  <c r="E115" i="14"/>
  <c r="E116" i="14" s="1"/>
  <c r="F118" i="14"/>
  <c r="F119" i="14" s="1"/>
  <c r="H119" i="14" s="1"/>
  <c r="G121" i="14"/>
  <c r="G122" i="14" s="1"/>
  <c r="E152" i="14"/>
  <c r="E153" i="14" s="1"/>
  <c r="E247" i="14"/>
  <c r="F240" i="14"/>
  <c r="E44" i="12"/>
  <c r="E45" i="12" s="1"/>
  <c r="D11" i="10" s="1"/>
  <c r="G247" i="4"/>
  <c r="E63" i="12" s="1"/>
  <c r="E157" i="14"/>
  <c r="I250" i="4"/>
  <c r="G64" i="12"/>
  <c r="G220" i="14"/>
  <c r="E168" i="14"/>
  <c r="E74" i="12"/>
  <c r="F74" i="12"/>
  <c r="E30" i="14"/>
  <c r="F29" i="14"/>
  <c r="G28" i="14"/>
  <c r="F50" i="14"/>
  <c r="E64" i="14"/>
  <c r="F60" i="14"/>
  <c r="G59" i="14"/>
  <c r="F89" i="14"/>
  <c r="F158" i="14"/>
  <c r="F159" i="14" s="1"/>
  <c r="H159" i="14" s="1"/>
  <c r="G74" i="12"/>
  <c r="G314" i="4"/>
  <c r="E81" i="12" s="1"/>
  <c r="H314" i="4"/>
  <c r="I314" i="4"/>
  <c r="G81" i="12" s="1"/>
  <c r="E75" i="13"/>
  <c r="D75" i="13"/>
  <c r="D100" i="13" s="1"/>
  <c r="F220" i="14"/>
  <c r="H220" i="14" s="1"/>
  <c r="G210" i="14"/>
  <c r="F150" i="14"/>
  <c r="H150" i="14" s="1"/>
  <c r="G150" i="14"/>
  <c r="F137" i="14"/>
  <c r="H137" i="14" s="1"/>
  <c r="G137" i="14"/>
  <c r="G113" i="14"/>
  <c r="F113" i="14"/>
  <c r="H113" i="14" s="1"/>
  <c r="F135" i="6"/>
  <c r="G332" i="4"/>
  <c r="E88" i="12"/>
  <c r="H332" i="4"/>
  <c r="I332" i="4"/>
  <c r="F88" i="12"/>
  <c r="G88" i="12"/>
  <c r="G91" i="4"/>
  <c r="J91" i="4" s="1"/>
  <c r="E40" i="12"/>
  <c r="I134" i="4"/>
  <c r="G34" i="12" s="1"/>
  <c r="I318" i="4"/>
  <c r="G82" i="12" s="1"/>
  <c r="F82" i="12"/>
  <c r="G300" i="4"/>
  <c r="E78" i="12" s="1"/>
  <c r="G318" i="4"/>
  <c r="I300" i="4"/>
  <c r="G78" i="12" s="1"/>
  <c r="G296" i="4"/>
  <c r="F77" i="12"/>
  <c r="I296" i="4"/>
  <c r="G77" i="12" s="1"/>
  <c r="G65" i="4"/>
  <c r="H300" i="4"/>
  <c r="H244" i="4"/>
  <c r="H216" i="4"/>
  <c r="I233" i="4"/>
  <c r="I216" i="4"/>
  <c r="H211" i="4"/>
  <c r="I207" i="4"/>
  <c r="I211" i="4" s="1"/>
  <c r="I148" i="4"/>
  <c r="G37" i="12" s="1"/>
  <c r="I169" i="4"/>
  <c r="G41" i="12" s="1"/>
  <c r="E36" i="12"/>
  <c r="F36" i="12"/>
  <c r="E34" i="12"/>
  <c r="I180" i="4"/>
  <c r="G42" i="12" s="1"/>
  <c r="F42" i="12"/>
  <c r="F40" i="12"/>
  <c r="G36" i="12"/>
  <c r="G169" i="4"/>
  <c r="F41" i="12"/>
  <c r="G40" i="12"/>
  <c r="I139" i="4"/>
  <c r="G35" i="12" s="1"/>
  <c r="I124" i="4"/>
  <c r="G32" i="12" s="1"/>
  <c r="I129" i="4"/>
  <c r="G33" i="12" s="1"/>
  <c r="G148" i="4"/>
  <c r="I104" i="4"/>
  <c r="G27" i="12" s="1"/>
  <c r="H104" i="4"/>
  <c r="G124" i="4"/>
  <c r="G104" i="4"/>
  <c r="E27" i="12" s="1"/>
  <c r="E19" i="12"/>
  <c r="G19" i="12"/>
  <c r="G79" i="4"/>
  <c r="I65" i="4"/>
  <c r="G17" i="12" s="1"/>
  <c r="F23" i="12"/>
  <c r="I91" i="4"/>
  <c r="I79" i="4"/>
  <c r="G20" i="12" s="1"/>
  <c r="F20" i="12"/>
  <c r="G16" i="12"/>
  <c r="F17" i="12"/>
  <c r="E16" i="12"/>
  <c r="F16" i="12"/>
  <c r="F19" i="12"/>
  <c r="G70" i="4"/>
  <c r="E18" i="12" s="1"/>
  <c r="H70" i="4"/>
  <c r="I70" i="4"/>
  <c r="G18" i="12" s="1"/>
  <c r="I55" i="4"/>
  <c r="G31" i="4"/>
  <c r="I31" i="4"/>
  <c r="G7" i="12" s="1"/>
  <c r="G55" i="4"/>
  <c r="J55" i="4" s="1"/>
  <c r="G20" i="4"/>
  <c r="I26" i="4"/>
  <c r="G6" i="12" s="1"/>
  <c r="G26" i="4"/>
  <c r="I20" i="4"/>
  <c r="G5" i="12" s="1"/>
  <c r="I49" i="4"/>
  <c r="E13" i="10" l="1"/>
  <c r="I49" i="12"/>
  <c r="H49" i="12"/>
  <c r="H47" i="12"/>
  <c r="I47" i="12"/>
  <c r="E100" i="13"/>
  <c r="G75" i="13"/>
  <c r="F75" i="13"/>
  <c r="J244" i="4"/>
  <c r="G211" i="4"/>
  <c r="J207" i="4"/>
  <c r="E33" i="12"/>
  <c r="J129" i="4"/>
  <c r="F106" i="12"/>
  <c r="J94" i="4"/>
  <c r="E7" i="12"/>
  <c r="J31" i="4"/>
  <c r="F27" i="12"/>
  <c r="J104" i="4"/>
  <c r="E41" i="12"/>
  <c r="E43" i="12" s="1"/>
  <c r="D10" i="10" s="1"/>
  <c r="J169" i="4"/>
  <c r="F78" i="12"/>
  <c r="J300" i="4"/>
  <c r="E77" i="12"/>
  <c r="J296" i="4"/>
  <c r="J332" i="4"/>
  <c r="J306" i="4"/>
  <c r="F89" i="12"/>
  <c r="J343" i="4"/>
  <c r="F63" i="12"/>
  <c r="J247" i="4"/>
  <c r="E42" i="12"/>
  <c r="J180" i="4"/>
  <c r="E6" i="12"/>
  <c r="J26" i="4"/>
  <c r="E32" i="12"/>
  <c r="J124" i="4"/>
  <c r="E17" i="12"/>
  <c r="J65" i="4"/>
  <c r="J250" i="4"/>
  <c r="J191" i="4"/>
  <c r="F25" i="12"/>
  <c r="J97" i="4"/>
  <c r="J289" i="4"/>
  <c r="E35" i="12"/>
  <c r="J139" i="4"/>
  <c r="J45" i="4"/>
  <c r="E20" i="12"/>
  <c r="J79" i="4"/>
  <c r="J348" i="4"/>
  <c r="F29" i="12"/>
  <c r="J110" i="4"/>
  <c r="F11" i="12"/>
  <c r="J42" i="4"/>
  <c r="E37" i="12"/>
  <c r="J148" i="4"/>
  <c r="J216" i="4"/>
  <c r="E82" i="12"/>
  <c r="J318" i="4"/>
  <c r="E9" i="12"/>
  <c r="J36" i="4"/>
  <c r="J238" i="4"/>
  <c r="F28" i="12"/>
  <c r="J107" i="4"/>
  <c r="J327" i="4"/>
  <c r="J268" i="4"/>
  <c r="J211" i="4"/>
  <c r="F81" i="12"/>
  <c r="J314" i="4"/>
  <c r="F18" i="12"/>
  <c r="J70" i="4"/>
  <c r="J20" i="4"/>
  <c r="G85" i="12"/>
  <c r="I328" i="4"/>
  <c r="E85" i="12"/>
  <c r="G328" i="4"/>
  <c r="F85" i="12"/>
  <c r="H328" i="4"/>
  <c r="G169" i="14"/>
  <c r="G170" i="14" s="1"/>
  <c r="E169" i="14"/>
  <c r="E170" i="14" s="1"/>
  <c r="F169" i="14"/>
  <c r="G389" i="4"/>
  <c r="H389" i="4"/>
  <c r="F256" i="14"/>
  <c r="E256" i="14"/>
  <c r="E268" i="14" s="1"/>
  <c r="I389" i="4"/>
  <c r="I403" i="4" s="1"/>
  <c r="G105" i="12"/>
  <c r="G107" i="12" s="1"/>
  <c r="G110" i="12" s="1"/>
  <c r="F105" i="12"/>
  <c r="H114" i="4"/>
  <c r="G23" i="12"/>
  <c r="G31" i="12" s="1"/>
  <c r="F8" i="10" s="1"/>
  <c r="I114" i="4"/>
  <c r="E23" i="12"/>
  <c r="E31" i="12" s="1"/>
  <c r="D8" i="10" s="1"/>
  <c r="G114" i="4"/>
  <c r="E66" i="14"/>
  <c r="E159" i="14"/>
  <c r="E164" i="14" s="1"/>
  <c r="E91" i="14"/>
  <c r="E49" i="12"/>
  <c r="D13" i="10" s="1"/>
  <c r="E47" i="12"/>
  <c r="D12" i="10" s="1"/>
  <c r="F91" i="14"/>
  <c r="H91" i="14" s="1"/>
  <c r="E31" i="14"/>
  <c r="F76" i="12"/>
  <c r="H301" i="4"/>
  <c r="G102" i="12"/>
  <c r="F39" i="10"/>
  <c r="F210" i="14"/>
  <c r="H210" i="14" s="1"/>
  <c r="G153" i="4"/>
  <c r="E5" i="12"/>
  <c r="G32" i="4"/>
  <c r="F24" i="14"/>
  <c r="H32" i="4"/>
  <c r="F69" i="12"/>
  <c r="F71" i="12" s="1"/>
  <c r="H153" i="4"/>
  <c r="E69" i="12"/>
  <c r="G69" i="12"/>
  <c r="G71" i="12" s="1"/>
  <c r="F5" i="12"/>
  <c r="F32" i="12"/>
  <c r="F39" i="12" s="1"/>
  <c r="E224" i="14"/>
  <c r="F4" i="12"/>
  <c r="E4" i="12"/>
  <c r="G4" i="12"/>
  <c r="G8" i="12" s="1"/>
  <c r="F5" i="10" s="1"/>
  <c r="I32" i="4"/>
  <c r="E15" i="12"/>
  <c r="E22" i="12" s="1"/>
  <c r="D7" i="10" s="1"/>
  <c r="G83" i="4"/>
  <c r="F15" i="12"/>
  <c r="H83" i="4"/>
  <c r="G15" i="12"/>
  <c r="G22" i="12" s="1"/>
  <c r="F7" i="10" s="1"/>
  <c r="I83" i="4"/>
  <c r="F13" i="12"/>
  <c r="F51" i="14"/>
  <c r="G51" i="14"/>
  <c r="F87" i="12"/>
  <c r="F90" i="12" s="1"/>
  <c r="H344" i="4"/>
  <c r="E87" i="12"/>
  <c r="E90" i="12" s="1"/>
  <c r="D32" i="10" s="1"/>
  <c r="G344" i="4"/>
  <c r="G87" i="12"/>
  <c r="G90" i="12" s="1"/>
  <c r="F32" i="10" s="1"/>
  <c r="I344" i="4"/>
  <c r="F205" i="14"/>
  <c r="H205" i="14" s="1"/>
  <c r="E84" i="12"/>
  <c r="F84" i="12"/>
  <c r="G84" i="12"/>
  <c r="F80" i="12"/>
  <c r="H319" i="4"/>
  <c r="E80" i="12"/>
  <c r="E83" i="12" s="1"/>
  <c r="D30" i="10" s="1"/>
  <c r="G319" i="4"/>
  <c r="G80" i="12"/>
  <c r="G83" i="12" s="1"/>
  <c r="F30" i="10" s="1"/>
  <c r="I319" i="4"/>
  <c r="H49" i="4"/>
  <c r="G49" i="4"/>
  <c r="E14" i="12"/>
  <c r="D6" i="10" s="1"/>
  <c r="G75" i="12"/>
  <c r="F28" i="10" s="1"/>
  <c r="F31" i="14"/>
  <c r="G205" i="14"/>
  <c r="G224" i="14" s="1"/>
  <c r="F66" i="14"/>
  <c r="H66" i="14" s="1"/>
  <c r="F75" i="12"/>
  <c r="G66" i="14"/>
  <c r="G31" i="14"/>
  <c r="F31" i="12"/>
  <c r="F43" i="12"/>
  <c r="E79" i="12"/>
  <c r="D29" i="10" s="1"/>
  <c r="E39" i="12"/>
  <c r="D9" i="10" s="1"/>
  <c r="G39" i="12"/>
  <c r="F9" i="10" s="1"/>
  <c r="G43" i="12"/>
  <c r="F10" i="10" s="1"/>
  <c r="G65" i="12"/>
  <c r="F21" i="10" s="1"/>
  <c r="G217" i="4"/>
  <c r="E54" i="12"/>
  <c r="E55" i="12" s="1"/>
  <c r="D17" i="10" s="1"/>
  <c r="H257" i="4"/>
  <c r="F66" i="12"/>
  <c r="F67" i="12" s="1"/>
  <c r="E105" i="12"/>
  <c r="E107" i="12" s="1"/>
  <c r="E110" i="12" s="1"/>
  <c r="G257" i="4"/>
  <c r="E66" i="12"/>
  <c r="E67" i="12" s="1"/>
  <c r="D22" i="10" s="1"/>
  <c r="I225" i="4"/>
  <c r="G56" i="12"/>
  <c r="G57" i="12" s="1"/>
  <c r="F18" i="10" s="1"/>
  <c r="H251" i="4"/>
  <c r="F62" i="12"/>
  <c r="H239" i="4"/>
  <c r="F60" i="12"/>
  <c r="F61" i="12" s="1"/>
  <c r="I191" i="4"/>
  <c r="F12" i="10"/>
  <c r="H225" i="4"/>
  <c r="F56" i="12"/>
  <c r="F57" i="12" s="1"/>
  <c r="G225" i="4"/>
  <c r="E56" i="12"/>
  <c r="E57" i="12" s="1"/>
  <c r="D18" i="10" s="1"/>
  <c r="E51" i="12"/>
  <c r="H349" i="4"/>
  <c r="F91" i="12"/>
  <c r="F92" i="12" s="1"/>
  <c r="F51" i="12"/>
  <c r="I217" i="4"/>
  <c r="G54" i="12"/>
  <c r="G55" i="12" s="1"/>
  <c r="F17" i="10" s="1"/>
  <c r="H217" i="4"/>
  <c r="F54" i="12"/>
  <c r="F55" i="12" s="1"/>
  <c r="G234" i="4"/>
  <c r="E58" i="12"/>
  <c r="E59" i="12" s="1"/>
  <c r="D19" i="10" s="1"/>
  <c r="G251" i="4"/>
  <c r="E62" i="12"/>
  <c r="E65" i="12" s="1"/>
  <c r="D21" i="10" s="1"/>
  <c r="I257" i="4"/>
  <c r="G66" i="12"/>
  <c r="G67" i="12" s="1"/>
  <c r="F22" i="10" s="1"/>
  <c r="E70" i="12"/>
  <c r="E73" i="12"/>
  <c r="E75" i="12" s="1"/>
  <c r="D28" i="10" s="1"/>
  <c r="H186" i="4"/>
  <c r="F44" i="12"/>
  <c r="F45" i="12" s="1"/>
  <c r="G79" i="12"/>
  <c r="F29" i="10" s="1"/>
  <c r="H234" i="4"/>
  <c r="F58" i="12"/>
  <c r="F59" i="12" s="1"/>
  <c r="G51" i="12"/>
  <c r="I234" i="4"/>
  <c r="G58" i="12"/>
  <c r="G59" i="12" s="1"/>
  <c r="F19" i="10" s="1"/>
  <c r="I349" i="4"/>
  <c r="G91" i="12"/>
  <c r="G92" i="12" s="1"/>
  <c r="F33" i="10" s="1"/>
  <c r="I251" i="4"/>
  <c r="G301" i="4"/>
  <c r="I301" i="4"/>
  <c r="G181" i="4"/>
  <c r="J181" i="4" s="1"/>
  <c r="I181" i="4"/>
  <c r="I153" i="4"/>
  <c r="E33" i="10" l="1"/>
  <c r="I92" i="12"/>
  <c r="H92" i="12"/>
  <c r="E32" i="10"/>
  <c r="H90" i="12"/>
  <c r="I90" i="12"/>
  <c r="E28" i="10"/>
  <c r="I75" i="12"/>
  <c r="H75" i="12"/>
  <c r="I71" i="12"/>
  <c r="H71" i="12"/>
  <c r="E22" i="10"/>
  <c r="H67" i="12"/>
  <c r="I67" i="12"/>
  <c r="E20" i="10"/>
  <c r="I61" i="12"/>
  <c r="H61" i="12"/>
  <c r="E19" i="10"/>
  <c r="H59" i="12"/>
  <c r="I59" i="12"/>
  <c r="E18" i="10"/>
  <c r="H57" i="12"/>
  <c r="I57" i="12"/>
  <c r="E17" i="10"/>
  <c r="H55" i="12"/>
  <c r="I55" i="12"/>
  <c r="E11" i="10"/>
  <c r="H45" i="12"/>
  <c r="I45" i="12"/>
  <c r="E10" i="10"/>
  <c r="H43" i="12"/>
  <c r="I43" i="12"/>
  <c r="E9" i="10"/>
  <c r="H39" i="12"/>
  <c r="I39" i="12"/>
  <c r="E8" i="10"/>
  <c r="H31" i="12"/>
  <c r="I31" i="12"/>
  <c r="F268" i="14"/>
  <c r="H256" i="14"/>
  <c r="I256" i="14"/>
  <c r="F170" i="14"/>
  <c r="H170" i="14" s="1"/>
  <c r="H169" i="14"/>
  <c r="H51" i="14"/>
  <c r="H31" i="14"/>
  <c r="H24" i="14"/>
  <c r="H268" i="14"/>
  <c r="I268" i="14"/>
  <c r="G100" i="13"/>
  <c r="F100" i="13"/>
  <c r="F107" i="12"/>
  <c r="F83" i="12"/>
  <c r="F79" i="12"/>
  <c r="F22" i="12"/>
  <c r="F65" i="12"/>
  <c r="J114" i="4"/>
  <c r="J186" i="4"/>
  <c r="J225" i="4"/>
  <c r="J239" i="4"/>
  <c r="G86" i="12"/>
  <c r="F31" i="10" s="1"/>
  <c r="J344" i="4"/>
  <c r="F14" i="12"/>
  <c r="J217" i="4"/>
  <c r="J251" i="4"/>
  <c r="J349" i="4"/>
  <c r="J257" i="4"/>
  <c r="J49" i="4"/>
  <c r="F86" i="12"/>
  <c r="H403" i="4"/>
  <c r="G403" i="4"/>
  <c r="J328" i="4"/>
  <c r="J234" i="4"/>
  <c r="J319" i="4"/>
  <c r="J301" i="4"/>
  <c r="J83" i="4"/>
  <c r="J32" i="4"/>
  <c r="J153" i="4"/>
  <c r="E86" i="12"/>
  <c r="D31" i="10" s="1"/>
  <c r="D34" i="10" s="1"/>
  <c r="L8" i="8" s="1"/>
  <c r="G376" i="7"/>
  <c r="F40" i="10"/>
  <c r="I197" i="4"/>
  <c r="F53" i="12"/>
  <c r="G53" i="12"/>
  <c r="F16" i="10" s="1"/>
  <c r="E53" i="12"/>
  <c r="D16" i="10" s="1"/>
  <c r="D23" i="10" s="1"/>
  <c r="L6" i="8" s="1"/>
  <c r="G197" i="4"/>
  <c r="H197" i="4"/>
  <c r="F224" i="14"/>
  <c r="H224" i="14" s="1"/>
  <c r="G72" i="12"/>
  <c r="F25" i="10"/>
  <c r="F44" i="10"/>
  <c r="F72" i="12"/>
  <c r="E25" i="10"/>
  <c r="D44" i="10"/>
  <c r="E71" i="12"/>
  <c r="E8" i="12"/>
  <c r="G258" i="4"/>
  <c r="F8" i="12"/>
  <c r="G9" i="7"/>
  <c r="F123" i="14"/>
  <c r="G123" i="14"/>
  <c r="E123" i="14"/>
  <c r="G50" i="12"/>
  <c r="G93" i="12"/>
  <c r="I258" i="4"/>
  <c r="H258" i="4"/>
  <c r="I350" i="4"/>
  <c r="H350" i="4"/>
  <c r="G350" i="4"/>
  <c r="F110" i="12" l="1"/>
  <c r="H107" i="12"/>
  <c r="I107" i="12"/>
  <c r="E44" i="10"/>
  <c r="E46" i="10" s="1"/>
  <c r="E31" i="10"/>
  <c r="I86" i="12"/>
  <c r="H86" i="12"/>
  <c r="E30" i="10"/>
  <c r="I83" i="12"/>
  <c r="H83" i="12"/>
  <c r="E29" i="10"/>
  <c r="H79" i="12"/>
  <c r="I79" i="12"/>
  <c r="H72" i="12"/>
  <c r="I72" i="12"/>
  <c r="E21" i="10"/>
  <c r="H65" i="12"/>
  <c r="I65" i="12"/>
  <c r="E16" i="10"/>
  <c r="H53" i="12"/>
  <c r="I53" i="12"/>
  <c r="E7" i="10"/>
  <c r="H22" i="12"/>
  <c r="I22" i="12"/>
  <c r="E6" i="10"/>
  <c r="H14" i="12"/>
  <c r="I14" i="12"/>
  <c r="H8" i="12"/>
  <c r="I8" i="12"/>
  <c r="H123" i="14"/>
  <c r="F93" i="12"/>
  <c r="E93" i="12"/>
  <c r="J258" i="4"/>
  <c r="K350" i="4"/>
  <c r="J350" i="4"/>
  <c r="J197" i="4"/>
  <c r="D46" i="10"/>
  <c r="L23" i="8"/>
  <c r="L25" i="8" s="1"/>
  <c r="F46" i="10"/>
  <c r="N23" i="8"/>
  <c r="N25" i="8" s="1"/>
  <c r="H351" i="4"/>
  <c r="G351" i="4"/>
  <c r="I351" i="4"/>
  <c r="G68" i="12"/>
  <c r="G94" i="12" s="1"/>
  <c r="G112" i="12" s="1"/>
  <c r="F68" i="12"/>
  <c r="E68" i="12"/>
  <c r="E225" i="14"/>
  <c r="E50" i="12"/>
  <c r="D5" i="10"/>
  <c r="D14" i="10" s="1"/>
  <c r="E72" i="12"/>
  <c r="D25" i="10"/>
  <c r="D26" i="10" s="1"/>
  <c r="L7" i="8" s="1"/>
  <c r="F50" i="12"/>
  <c r="E5" i="10"/>
  <c r="G268" i="7"/>
  <c r="G116" i="7"/>
  <c r="G117" i="7" s="1"/>
  <c r="G141" i="7"/>
  <c r="G143" i="7"/>
  <c r="G339" i="7"/>
  <c r="G335" i="7"/>
  <c r="G336" i="7" s="1"/>
  <c r="G215" i="7"/>
  <c r="H280" i="7"/>
  <c r="G232" i="7"/>
  <c r="G46" i="10" l="1"/>
  <c r="H46" i="10"/>
  <c r="M23" i="8"/>
  <c r="M25" i="8" s="1"/>
  <c r="I110" i="12"/>
  <c r="H110" i="12"/>
  <c r="I93" i="12"/>
  <c r="H93" i="12"/>
  <c r="H68" i="12"/>
  <c r="I68" i="12"/>
  <c r="H50" i="12"/>
  <c r="I50" i="12"/>
  <c r="I7" i="14"/>
  <c r="I9" i="14"/>
  <c r="I11" i="14"/>
  <c r="I13" i="14"/>
  <c r="I15" i="14"/>
  <c r="I17" i="14"/>
  <c r="I19" i="14"/>
  <c r="I21" i="14"/>
  <c r="I23" i="14"/>
  <c r="I27" i="14"/>
  <c r="I29" i="14"/>
  <c r="I33" i="14"/>
  <c r="I35" i="14"/>
  <c r="I37" i="14"/>
  <c r="I39" i="14"/>
  <c r="I41" i="14"/>
  <c r="I43" i="14"/>
  <c r="I45" i="14"/>
  <c r="I47" i="14"/>
  <c r="I49" i="14"/>
  <c r="I55" i="14"/>
  <c r="I57" i="14"/>
  <c r="I59" i="14"/>
  <c r="I61" i="14"/>
  <c r="I63" i="14"/>
  <c r="I65" i="14"/>
  <c r="I68" i="14"/>
  <c r="I70" i="14"/>
  <c r="I72" i="14"/>
  <c r="I74" i="14"/>
  <c r="I76" i="14"/>
  <c r="I78" i="14"/>
  <c r="I82" i="14"/>
  <c r="I84" i="14"/>
  <c r="I88" i="14"/>
  <c r="I90" i="14"/>
  <c r="I97" i="14"/>
  <c r="I101" i="14"/>
  <c r="I105" i="14"/>
  <c r="I109" i="14"/>
  <c r="I113" i="14"/>
  <c r="I119" i="14"/>
  <c r="I127" i="14"/>
  <c r="I131" i="14"/>
  <c r="I136" i="14"/>
  <c r="I141" i="14"/>
  <c r="I146" i="14"/>
  <c r="I150" i="14"/>
  <c r="I153" i="14"/>
  <c r="I158" i="14"/>
  <c r="I163" i="14"/>
  <c r="I169" i="14"/>
  <c r="I173" i="14"/>
  <c r="I177" i="14"/>
  <c r="I182" i="14"/>
  <c r="I186" i="14"/>
  <c r="I190" i="14"/>
  <c r="I192" i="14"/>
  <c r="I197" i="14"/>
  <c r="I201" i="14"/>
  <c r="I203" i="14"/>
  <c r="I208" i="14"/>
  <c r="I213" i="14"/>
  <c r="I217" i="14"/>
  <c r="I222" i="14"/>
  <c r="I53" i="14"/>
  <c r="I80" i="14"/>
  <c r="I86" i="14"/>
  <c r="I93" i="14"/>
  <c r="I95" i="14"/>
  <c r="I99" i="14"/>
  <c r="I103" i="14"/>
  <c r="I107" i="14"/>
  <c r="I111" i="14"/>
  <c r="I116" i="14"/>
  <c r="I122" i="14"/>
  <c r="I129" i="14"/>
  <c r="I133" i="14"/>
  <c r="I139" i="14"/>
  <c r="I143" i="14"/>
  <c r="I148" i="14"/>
  <c r="I156" i="14"/>
  <c r="I161" i="14"/>
  <c r="I167" i="14"/>
  <c r="I175" i="14"/>
  <c r="I179" i="14"/>
  <c r="I184" i="14"/>
  <c r="I188" i="14"/>
  <c r="I195" i="14"/>
  <c r="I199" i="14"/>
  <c r="I205" i="14"/>
  <c r="I210" i="14"/>
  <c r="I215" i="14"/>
  <c r="I219" i="14"/>
  <c r="I224" i="14"/>
  <c r="I6" i="14"/>
  <c r="I8" i="14"/>
  <c r="I10" i="14"/>
  <c r="I12" i="14"/>
  <c r="I14" i="14"/>
  <c r="I16" i="14"/>
  <c r="I18" i="14"/>
  <c r="I20" i="14"/>
  <c r="I22" i="14"/>
  <c r="I26" i="14"/>
  <c r="I28" i="14"/>
  <c r="I30" i="14"/>
  <c r="I34" i="14"/>
  <c r="I36" i="14"/>
  <c r="I38" i="14"/>
  <c r="I40" i="14"/>
  <c r="I42" i="14"/>
  <c r="I44" i="14"/>
  <c r="I46" i="14"/>
  <c r="I48" i="14"/>
  <c r="I50" i="14"/>
  <c r="I54" i="14"/>
  <c r="I56" i="14"/>
  <c r="I58" i="14"/>
  <c r="I60" i="14"/>
  <c r="I62" i="14"/>
  <c r="I64" i="14"/>
  <c r="I66" i="14"/>
  <c r="I69" i="14"/>
  <c r="I71" i="14"/>
  <c r="I73" i="14"/>
  <c r="I75" i="14"/>
  <c r="I77" i="14"/>
  <c r="I79" i="14"/>
  <c r="I81" i="14"/>
  <c r="I83" i="14"/>
  <c r="I85" i="14"/>
  <c r="I87" i="14"/>
  <c r="I89" i="14"/>
  <c r="I91" i="14"/>
  <c r="I94" i="14"/>
  <c r="I96" i="14"/>
  <c r="I98" i="14"/>
  <c r="I100" i="14"/>
  <c r="I102" i="14"/>
  <c r="I104" i="14"/>
  <c r="I106" i="14"/>
  <c r="I108" i="14"/>
  <c r="I110" i="14"/>
  <c r="I112" i="14"/>
  <c r="I115" i="14"/>
  <c r="I118" i="14"/>
  <c r="I121" i="14"/>
  <c r="I126" i="14"/>
  <c r="I128" i="14"/>
  <c r="I130" i="14"/>
  <c r="I132" i="14"/>
  <c r="I135" i="14"/>
  <c r="I137" i="14"/>
  <c r="I140" i="14"/>
  <c r="I142" i="14"/>
  <c r="I145" i="14"/>
  <c r="I147" i="14"/>
  <c r="I149" i="14"/>
  <c r="I152" i="14"/>
  <c r="I155" i="14"/>
  <c r="I157" i="14"/>
  <c r="I159" i="14"/>
  <c r="I162" i="14"/>
  <c r="I168" i="14"/>
  <c r="I170" i="14"/>
  <c r="I174" i="14"/>
  <c r="I176" i="14"/>
  <c r="I178" i="14"/>
  <c r="I181" i="14"/>
  <c r="I183" i="14"/>
  <c r="I185" i="14"/>
  <c r="I187" i="14"/>
  <c r="I189" i="14"/>
  <c r="I191" i="14"/>
  <c r="I193" i="14"/>
  <c r="I196" i="14"/>
  <c r="I198" i="14"/>
  <c r="I200" i="14"/>
  <c r="I207" i="14"/>
  <c r="I216" i="14"/>
  <c r="I218" i="14"/>
  <c r="I204" i="14"/>
  <c r="I214" i="14"/>
  <c r="I223" i="14"/>
  <c r="I202" i="14"/>
  <c r="I212" i="14"/>
  <c r="I220" i="14"/>
  <c r="I209" i="14"/>
  <c r="I51" i="14"/>
  <c r="I24" i="14"/>
  <c r="I31" i="14"/>
  <c r="I123" i="14"/>
  <c r="K208" i="4"/>
  <c r="K58" i="4"/>
  <c r="K138" i="4"/>
  <c r="K242" i="4"/>
  <c r="K249" i="4"/>
  <c r="K331" i="4"/>
  <c r="K132" i="4"/>
  <c r="K30" i="4"/>
  <c r="K57" i="4"/>
  <c r="K61" i="4"/>
  <c r="K203" i="4"/>
  <c r="K246" i="4"/>
  <c r="K265" i="4"/>
  <c r="K342" i="4"/>
  <c r="K16" i="4"/>
  <c r="K109" i="4"/>
  <c r="K337" i="4"/>
  <c r="K316" i="4"/>
  <c r="K304" i="4"/>
  <c r="K288" i="4"/>
  <c r="K274" i="4"/>
  <c r="K237" i="4"/>
  <c r="K202" i="4"/>
  <c r="K176" i="4"/>
  <c r="K166" i="4"/>
  <c r="K156" i="4"/>
  <c r="K137" i="4"/>
  <c r="K122" i="4"/>
  <c r="K103" i="4"/>
  <c r="K86" i="4"/>
  <c r="K64" i="4"/>
  <c r="K41" i="4"/>
  <c r="K22" i="4"/>
  <c r="K338" i="4"/>
  <c r="K305" i="4"/>
  <c r="K291" i="4"/>
  <c r="K266" i="4"/>
  <c r="K230" i="4"/>
  <c r="K214" i="4"/>
  <c r="K189" i="4"/>
  <c r="K173" i="4"/>
  <c r="K161" i="4"/>
  <c r="K119" i="4"/>
  <c r="K96" i="4"/>
  <c r="K77" i="4"/>
  <c r="K54" i="4"/>
  <c r="K29" i="4"/>
  <c r="K17" i="4"/>
  <c r="K87" i="4"/>
  <c r="K335" i="4"/>
  <c r="K308" i="4"/>
  <c r="K286" i="4"/>
  <c r="K272" i="4"/>
  <c r="K231" i="4"/>
  <c r="K215" i="4"/>
  <c r="K165" i="4"/>
  <c r="K25" i="4"/>
  <c r="K12" i="4"/>
  <c r="K206" i="4"/>
  <c r="K232" i="4"/>
  <c r="K131" i="4"/>
  <c r="K221" i="4"/>
  <c r="K9" i="4"/>
  <c r="K317" i="4"/>
  <c r="K147" i="4"/>
  <c r="K162" i="4"/>
  <c r="K150" i="4"/>
  <c r="K120" i="4"/>
  <c r="K99" i="4"/>
  <c r="K78" i="4"/>
  <c r="K35" i="4"/>
  <c r="K18" i="4"/>
  <c r="K7" i="4"/>
  <c r="K347" i="4"/>
  <c r="K323" i="4"/>
  <c r="K309" i="4"/>
  <c r="K293" i="4"/>
  <c r="K279" i="4"/>
  <c r="K220" i="4"/>
  <c r="K179" i="4"/>
  <c r="K171" i="4"/>
  <c r="K145" i="4"/>
  <c r="K127" i="4"/>
  <c r="K117" i="4"/>
  <c r="K90" i="4"/>
  <c r="K73" i="4"/>
  <c r="K8" i="4"/>
  <c r="K292" i="4"/>
  <c r="K326" i="4"/>
  <c r="K310" i="4"/>
  <c r="K294" i="4"/>
  <c r="K284" i="4"/>
  <c r="K262" i="4"/>
  <c r="K229" i="4"/>
  <c r="K209" i="4"/>
  <c r="K160" i="4"/>
  <c r="K146" i="4"/>
  <c r="K128" i="4"/>
  <c r="K118" i="4"/>
  <c r="K93" i="4"/>
  <c r="K74" i="4"/>
  <c r="K53" i="4"/>
  <c r="K28" i="4"/>
  <c r="K334" i="4"/>
  <c r="K311" i="4"/>
  <c r="K295" i="4"/>
  <c r="K285" i="4"/>
  <c r="K243" i="4"/>
  <c r="K222" i="4"/>
  <c r="K204" i="4"/>
  <c r="K167" i="4"/>
  <c r="K157" i="4"/>
  <c r="K123" i="4"/>
  <c r="K106" i="4"/>
  <c r="K88" i="4"/>
  <c r="K67" i="4"/>
  <c r="K23" i="4"/>
  <c r="K10" i="4"/>
  <c r="K339" i="4"/>
  <c r="K322" i="4"/>
  <c r="K298" i="4"/>
  <c r="K278" i="4"/>
  <c r="K254" i="4"/>
  <c r="K205" i="4"/>
  <c r="K194" i="4"/>
  <c r="K174" i="4"/>
  <c r="K59" i="4"/>
  <c r="K255" i="4"/>
  <c r="K159" i="4"/>
  <c r="K60" i="4"/>
  <c r="K38" i="4"/>
  <c r="K19" i="4"/>
  <c r="K275" i="4"/>
  <c r="K141" i="4"/>
  <c r="K142" i="4"/>
  <c r="K133" i="4"/>
  <c r="K184" i="4"/>
  <c r="K172" i="4"/>
  <c r="K13" i="4"/>
  <c r="K177" i="4"/>
  <c r="K44" i="4"/>
  <c r="K223" i="4"/>
  <c r="K178" i="4"/>
  <c r="K168" i="4"/>
  <c r="K158" i="4"/>
  <c r="K126" i="4"/>
  <c r="K112" i="4"/>
  <c r="K89" i="4"/>
  <c r="K72" i="4"/>
  <c r="K47" i="4"/>
  <c r="K24" i="4"/>
  <c r="K11" i="4"/>
  <c r="K336" i="4"/>
  <c r="K313" i="4"/>
  <c r="K299" i="4"/>
  <c r="K287" i="4"/>
  <c r="K273" i="4"/>
  <c r="K228" i="4"/>
  <c r="K201" i="4"/>
  <c r="K175" i="4"/>
  <c r="K151" i="4"/>
  <c r="K136" i="4"/>
  <c r="K121" i="4"/>
  <c r="K102" i="4"/>
  <c r="K81" i="4"/>
  <c r="K68" i="4"/>
  <c r="K52" i="4"/>
  <c r="K312" i="4"/>
  <c r="K69" i="4"/>
  <c r="K280" i="4"/>
  <c r="K256" i="4"/>
  <c r="K143" i="4"/>
  <c r="K195" i="4"/>
  <c r="K324" i="4"/>
  <c r="K163" i="4"/>
  <c r="K148" i="4"/>
  <c r="K196" i="4"/>
  <c r="K169" i="4"/>
  <c r="K263" i="4"/>
  <c r="K26" i="4"/>
  <c r="K152" i="4"/>
  <c r="K124" i="4"/>
  <c r="K180" i="4"/>
  <c r="K75" i="4"/>
  <c r="K185" i="4"/>
  <c r="K36" i="4"/>
  <c r="K55" i="4"/>
  <c r="K65" i="4"/>
  <c r="K134" i="4"/>
  <c r="K48" i="4"/>
  <c r="K340" i="4"/>
  <c r="K91" i="4"/>
  <c r="K139" i="4"/>
  <c r="K62" i="4"/>
  <c r="K31" i="4"/>
  <c r="K129" i="4"/>
  <c r="K14" i="4"/>
  <c r="K224" i="4"/>
  <c r="K210" i="4"/>
  <c r="K79" i="4"/>
  <c r="K207" i="4"/>
  <c r="K276" i="4"/>
  <c r="K267" i="4"/>
  <c r="K181" i="4"/>
  <c r="K318" i="4"/>
  <c r="K296" i="4"/>
  <c r="K233" i="4"/>
  <c r="K281" i="4"/>
  <c r="K45" i="4"/>
  <c r="K82" i="4"/>
  <c r="K39" i="4"/>
  <c r="K190" i="4"/>
  <c r="K113" i="4"/>
  <c r="K94" i="4"/>
  <c r="K100" i="4"/>
  <c r="K244" i="4"/>
  <c r="K306" i="4"/>
  <c r="K250" i="4"/>
  <c r="K42" i="4"/>
  <c r="K216" i="4"/>
  <c r="K238" i="4"/>
  <c r="K107" i="4"/>
  <c r="K104" i="4"/>
  <c r="K97" i="4"/>
  <c r="K110" i="4"/>
  <c r="K211" i="4"/>
  <c r="K314" i="4"/>
  <c r="K300" i="4"/>
  <c r="K332" i="4"/>
  <c r="K191" i="4"/>
  <c r="K348" i="4"/>
  <c r="K327" i="4"/>
  <c r="K20" i="4"/>
  <c r="K343" i="4"/>
  <c r="K247" i="4"/>
  <c r="K289" i="4"/>
  <c r="K268" i="4"/>
  <c r="K70" i="4"/>
  <c r="K114" i="4"/>
  <c r="K225" i="4"/>
  <c r="K186" i="4"/>
  <c r="K239" i="4"/>
  <c r="K251" i="4"/>
  <c r="K257" i="4"/>
  <c r="K301" i="4"/>
  <c r="K234" i="4"/>
  <c r="K344" i="4"/>
  <c r="K217" i="4"/>
  <c r="K349" i="4"/>
  <c r="K49" i="4"/>
  <c r="K319" i="4"/>
  <c r="K83" i="4"/>
  <c r="K153" i="4"/>
  <c r="K328" i="4"/>
  <c r="K32" i="4"/>
  <c r="K197" i="4"/>
  <c r="K258" i="4"/>
  <c r="K280" i="7"/>
  <c r="H479" i="7"/>
  <c r="J351" i="4"/>
  <c r="K351" i="4"/>
  <c r="I406" i="4"/>
  <c r="G406" i="4"/>
  <c r="H286" i="7"/>
  <c r="L9" i="8"/>
  <c r="L11" i="8" s="1"/>
  <c r="F94" i="12"/>
  <c r="E94" i="12"/>
  <c r="D35" i="10"/>
  <c r="P25" i="8" l="1"/>
  <c r="O25" i="8"/>
  <c r="H94" i="12"/>
  <c r="I94" i="12"/>
  <c r="K286" i="7"/>
  <c r="H438" i="7"/>
  <c r="L5" i="7" l="1"/>
  <c r="B18" i="9"/>
  <c r="B8" i="12" l="1"/>
  <c r="B14" i="12"/>
  <c r="B22" i="12"/>
  <c r="B31" i="12"/>
  <c r="B39" i="12"/>
  <c r="B43" i="12"/>
  <c r="B45" i="12"/>
  <c r="B47" i="12"/>
  <c r="B50" i="12"/>
  <c r="B53" i="12"/>
  <c r="B55" i="12"/>
  <c r="B57" i="12"/>
  <c r="B59" i="12"/>
  <c r="B61" i="12"/>
  <c r="B65" i="12"/>
  <c r="B67" i="12"/>
  <c r="B68" i="12"/>
  <c r="B71" i="12"/>
  <c r="B72" i="12"/>
  <c r="B75" i="12"/>
  <c r="B79" i="12"/>
  <c r="B83" i="12"/>
  <c r="B86" i="12"/>
  <c r="B90" i="12"/>
  <c r="B93" i="12"/>
  <c r="B2" i="11"/>
  <c r="B13" i="11"/>
  <c r="B22" i="11"/>
  <c r="B27" i="11"/>
  <c r="B16" i="11"/>
  <c r="B17" i="11"/>
  <c r="B30" i="11"/>
  <c r="B31" i="11"/>
  <c r="B35" i="11"/>
  <c r="C60" i="12" l="1"/>
  <c r="C62" i="12"/>
  <c r="C63" i="12"/>
  <c r="D64" i="12"/>
  <c r="F133" i="4"/>
  <c r="F134" i="4" s="1"/>
  <c r="C79" i="13" l="1"/>
  <c r="B79" i="13"/>
  <c r="B78" i="13"/>
  <c r="C64" i="12"/>
  <c r="C58" i="12"/>
  <c r="B6" i="10"/>
  <c r="D158" i="14"/>
  <c r="B158" i="14"/>
  <c r="B157" i="14"/>
  <c r="C130" i="14"/>
  <c r="D130" i="14"/>
  <c r="B130" i="14"/>
  <c r="C83" i="14"/>
  <c r="B83" i="14"/>
  <c r="B82" i="14"/>
  <c r="D83" i="14" l="1"/>
  <c r="G236" i="7"/>
  <c r="G237" i="7" l="1"/>
  <c r="F380" i="4" l="1"/>
  <c r="F381" i="4"/>
  <c r="F382" i="4"/>
  <c r="F373" i="4"/>
  <c r="F372" i="4"/>
  <c r="F322" i="4"/>
  <c r="F324" i="4" s="1"/>
  <c r="F316" i="4"/>
  <c r="F317" i="4"/>
  <c r="F312" i="4"/>
  <c r="F311" i="4"/>
  <c r="F309" i="4"/>
  <c r="F308" i="4"/>
  <c r="F299" i="4"/>
  <c r="F298" i="4"/>
  <c r="F294" i="4"/>
  <c r="F293" i="4"/>
  <c r="F291" i="4"/>
  <c r="F278" i="4"/>
  <c r="F280" i="4" s="1"/>
  <c r="F273" i="4"/>
  <c r="F274" i="4"/>
  <c r="F272" i="4"/>
  <c r="C173" i="14"/>
  <c r="F262" i="4"/>
  <c r="F263" i="4" s="1"/>
  <c r="F255" i="4"/>
  <c r="F254" i="4"/>
  <c r="D84" i="12" l="1"/>
  <c r="F328" i="4"/>
  <c r="F256" i="4"/>
  <c r="F257" i="4" s="1"/>
  <c r="F267" i="4"/>
  <c r="F268" i="4" s="1"/>
  <c r="F388" i="4"/>
  <c r="D106" i="12" s="1"/>
  <c r="F276" i="4"/>
  <c r="F281" i="4" s="1"/>
  <c r="F340" i="4"/>
  <c r="F377" i="4"/>
  <c r="F296" i="4"/>
  <c r="F237" i="4"/>
  <c r="F231" i="4"/>
  <c r="F230" i="4"/>
  <c r="F229" i="4"/>
  <c r="F228" i="4"/>
  <c r="F221" i="4"/>
  <c r="F220" i="4"/>
  <c r="F215" i="4"/>
  <c r="F214" i="4"/>
  <c r="F196" i="4"/>
  <c r="F176" i="4"/>
  <c r="F177" i="4"/>
  <c r="F178" i="4"/>
  <c r="F179" i="4"/>
  <c r="F175" i="4"/>
  <c r="F171" i="4"/>
  <c r="F172" i="4"/>
  <c r="F173" i="4"/>
  <c r="F174" i="4"/>
  <c r="F166" i="4"/>
  <c r="F167" i="4"/>
  <c r="F168" i="4"/>
  <c r="F165" i="4"/>
  <c r="F157" i="4"/>
  <c r="F158" i="4"/>
  <c r="D95" i="14" s="1"/>
  <c r="F159" i="4"/>
  <c r="F160" i="4"/>
  <c r="F161" i="4"/>
  <c r="F156" i="4"/>
  <c r="F152" i="4"/>
  <c r="F146" i="4"/>
  <c r="F147" i="4"/>
  <c r="F145" i="4"/>
  <c r="F136" i="4"/>
  <c r="F139" i="4" s="1"/>
  <c r="F118" i="4"/>
  <c r="F119" i="4"/>
  <c r="F120" i="4"/>
  <c r="F121" i="4"/>
  <c r="F122" i="4"/>
  <c r="F123" i="4"/>
  <c r="F117" i="4"/>
  <c r="D48" i="12" l="1"/>
  <c r="F389" i="4"/>
  <c r="F403" i="4" s="1"/>
  <c r="D105" i="12"/>
  <c r="F224" i="4"/>
  <c r="F163" i="4"/>
  <c r="F124" i="4"/>
  <c r="F148" i="4"/>
  <c r="F233" i="4"/>
  <c r="F234" i="4" s="1"/>
  <c r="F207" i="4"/>
  <c r="F211" i="4" s="1"/>
  <c r="F180" i="4"/>
  <c r="F112" i="4"/>
  <c r="F113" i="4" s="1"/>
  <c r="F110" i="4"/>
  <c r="F106" i="4"/>
  <c r="F107" i="4" s="1"/>
  <c r="F102" i="4"/>
  <c r="F103" i="4"/>
  <c r="F99" i="4"/>
  <c r="F100" i="4" s="1"/>
  <c r="F96" i="4"/>
  <c r="F97" i="4" s="1"/>
  <c r="F93" i="4"/>
  <c r="F94" i="4" s="1"/>
  <c r="F89" i="4"/>
  <c r="F90" i="4"/>
  <c r="F88" i="4"/>
  <c r="F81" i="4"/>
  <c r="F68" i="4"/>
  <c r="D107" i="12" l="1"/>
  <c r="F153" i="4"/>
  <c r="F91" i="4"/>
  <c r="F82" i="4"/>
  <c r="F73" i="4"/>
  <c r="F72" i="4"/>
  <c r="F69" i="4"/>
  <c r="F70" i="4" s="1"/>
  <c r="F64" i="4"/>
  <c r="F65" i="4" s="1"/>
  <c r="C44" i="10" l="1"/>
  <c r="K23" i="8" s="1"/>
  <c r="D110" i="12"/>
  <c r="F75" i="4"/>
  <c r="F79" i="4"/>
  <c r="F60" i="4"/>
  <c r="F59" i="4"/>
  <c r="F53" i="4"/>
  <c r="F54" i="4"/>
  <c r="C46" i="10" l="1"/>
  <c r="F62" i="4"/>
  <c r="F48" i="4"/>
  <c r="F44" i="4"/>
  <c r="F45" i="4" s="1"/>
  <c r="F41" i="4"/>
  <c r="F42" i="4" s="1"/>
  <c r="F38" i="4"/>
  <c r="F39" i="4" s="1"/>
  <c r="F35" i="4"/>
  <c r="F36" i="4" s="1"/>
  <c r="F29" i="4"/>
  <c r="F28" i="4"/>
  <c r="F19" i="4"/>
  <c r="F18" i="4"/>
  <c r="F17" i="4"/>
  <c r="F12" i="4"/>
  <c r="F11" i="4"/>
  <c r="F10" i="4"/>
  <c r="F14" i="4" l="1"/>
  <c r="D4" i="12" s="1"/>
  <c r="F20" i="4"/>
  <c r="B5" i="14"/>
  <c r="B50" i="13"/>
  <c r="B29" i="10"/>
  <c r="C2" i="11" l="1"/>
  <c r="B2" i="9"/>
  <c r="B20" i="9"/>
  <c r="B26" i="9"/>
  <c r="B24" i="9"/>
  <c r="B17" i="9"/>
  <c r="B16" i="9"/>
  <c r="B15" i="9"/>
  <c r="B14" i="9"/>
  <c r="B8" i="9"/>
  <c r="B13" i="9"/>
  <c r="B12" i="9"/>
  <c r="B11" i="9"/>
  <c r="B35" i="10"/>
  <c r="B33" i="10"/>
  <c r="B32" i="10"/>
  <c r="B31" i="10"/>
  <c r="B30" i="10"/>
  <c r="B25" i="10"/>
  <c r="B34" i="10"/>
  <c r="B27" i="10"/>
  <c r="B26" i="10"/>
  <c r="B24" i="10"/>
  <c r="B23" i="10"/>
  <c r="B22" i="10"/>
  <c r="B21" i="10"/>
  <c r="B20" i="10"/>
  <c r="B19" i="10"/>
  <c r="B18" i="10"/>
  <c r="B17" i="10"/>
  <c r="B16" i="10"/>
  <c r="B15" i="10"/>
  <c r="B4" i="10"/>
  <c r="B14" i="10"/>
  <c r="B13" i="10"/>
  <c r="B12" i="10"/>
  <c r="B11" i="10"/>
  <c r="B10" i="10"/>
  <c r="B9" i="10"/>
  <c r="B8" i="10"/>
  <c r="B7" i="10"/>
  <c r="D23" i="11" l="1"/>
  <c r="C29" i="11"/>
  <c r="C15" i="11"/>
  <c r="C26" i="11"/>
  <c r="C25" i="11"/>
  <c r="C24" i="11"/>
  <c r="C23" i="11"/>
  <c r="C20" i="11"/>
  <c r="C19" i="11"/>
  <c r="C18" i="11"/>
  <c r="C12" i="11" l="1"/>
  <c r="C11" i="11"/>
  <c r="C10" i="11"/>
  <c r="C9" i="11"/>
  <c r="C8" i="11"/>
  <c r="C7" i="11"/>
  <c r="C6" i="11"/>
  <c r="C5" i="11"/>
  <c r="C105" i="12"/>
  <c r="C74" i="12"/>
  <c r="C73" i="12"/>
  <c r="C70" i="12"/>
  <c r="C69" i="12"/>
  <c r="C48" i="12"/>
  <c r="C42" i="12"/>
  <c r="C41" i="12"/>
  <c r="C40" i="12"/>
  <c r="C38" i="12"/>
  <c r="C37" i="12"/>
  <c r="C36" i="12"/>
  <c r="C35" i="12"/>
  <c r="C34" i="12"/>
  <c r="C33" i="12"/>
  <c r="C32" i="12"/>
  <c r="C30" i="12"/>
  <c r="C29" i="12"/>
  <c r="C27" i="12"/>
  <c r="C26" i="12"/>
  <c r="C25" i="12"/>
  <c r="C21" i="12"/>
  <c r="C20" i="12"/>
  <c r="C19" i="12"/>
  <c r="C18" i="12"/>
  <c r="C17" i="12"/>
  <c r="C16" i="12"/>
  <c r="C15" i="12"/>
  <c r="C13" i="12"/>
  <c r="C12" i="12"/>
  <c r="C11" i="12"/>
  <c r="C10" i="12"/>
  <c r="C9" i="12"/>
  <c r="C7" i="12"/>
  <c r="C6" i="12"/>
  <c r="C91" i="12"/>
  <c r="C89" i="12"/>
  <c r="C88" i="12"/>
  <c r="C87" i="12"/>
  <c r="C82" i="12"/>
  <c r="C81" i="12"/>
  <c r="C80" i="12"/>
  <c r="C78" i="12"/>
  <c r="C77" i="12"/>
  <c r="C76" i="12"/>
  <c r="F216" i="4"/>
  <c r="D54" i="12" s="1"/>
  <c r="D55" i="12" s="1"/>
  <c r="C17" i="10" s="1"/>
  <c r="C54" i="12"/>
  <c r="B106" i="13" l="1"/>
  <c r="B56" i="13"/>
  <c r="B55" i="13"/>
  <c r="B99" i="13"/>
  <c r="B75" i="13"/>
  <c r="B127" i="13"/>
  <c r="B128" i="13"/>
  <c r="B132" i="13"/>
  <c r="B133" i="13"/>
  <c r="B134" i="13"/>
  <c r="B135" i="13"/>
  <c r="B125" i="13"/>
  <c r="C167" i="6"/>
  <c r="C45" i="11" l="1"/>
  <c r="B29" i="9"/>
  <c r="B124" i="13"/>
  <c r="B103" i="13"/>
  <c r="C103" i="13"/>
  <c r="B104" i="13"/>
  <c r="C104" i="13"/>
  <c r="B102" i="13"/>
  <c r="B101" i="13"/>
  <c r="C54" i="13"/>
  <c r="B54" i="13"/>
  <c r="B53" i="13"/>
  <c r="C77" i="13"/>
  <c r="C78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6" i="13"/>
  <c r="C97" i="13"/>
  <c r="C98" i="13"/>
  <c r="B77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6" i="13"/>
  <c r="B97" i="13"/>
  <c r="B98" i="13"/>
  <c r="B76" i="13"/>
  <c r="B58" i="13"/>
  <c r="B60" i="13"/>
  <c r="C60" i="13"/>
  <c r="B61" i="13"/>
  <c r="C61" i="13"/>
  <c r="B62" i="13"/>
  <c r="C62" i="13"/>
  <c r="B63" i="13"/>
  <c r="C63" i="13"/>
  <c r="B64" i="13"/>
  <c r="C64" i="13"/>
  <c r="B65" i="13"/>
  <c r="C65" i="13"/>
  <c r="B66" i="13"/>
  <c r="C66" i="13"/>
  <c r="B67" i="13"/>
  <c r="C67" i="13"/>
  <c r="B68" i="13"/>
  <c r="C68" i="13"/>
  <c r="B69" i="13"/>
  <c r="C69" i="13"/>
  <c r="B70" i="13"/>
  <c r="C70" i="13"/>
  <c r="B71" i="13"/>
  <c r="C71" i="13"/>
  <c r="B72" i="13"/>
  <c r="C72" i="13"/>
  <c r="B73" i="13"/>
  <c r="C73" i="13"/>
  <c r="B74" i="13"/>
  <c r="C74" i="13"/>
  <c r="C59" i="13"/>
  <c r="B59" i="13"/>
  <c r="C41" i="13"/>
  <c r="C42" i="13"/>
  <c r="C43" i="13"/>
  <c r="C44" i="13"/>
  <c r="C45" i="13"/>
  <c r="C46" i="13"/>
  <c r="C47" i="13"/>
  <c r="C48" i="13"/>
  <c r="C49" i="13"/>
  <c r="B42" i="13"/>
  <c r="B43" i="13"/>
  <c r="B44" i="13"/>
  <c r="B45" i="13"/>
  <c r="B46" i="13"/>
  <c r="B47" i="13"/>
  <c r="B48" i="13"/>
  <c r="B49" i="13"/>
  <c r="C36" i="13"/>
  <c r="C37" i="13"/>
  <c r="C38" i="13"/>
  <c r="C39" i="13"/>
  <c r="C40" i="13"/>
  <c r="B37" i="13"/>
  <c r="B38" i="13"/>
  <c r="B39" i="13"/>
  <c r="B40" i="13"/>
  <c r="B41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6" i="13"/>
  <c r="B6" i="14"/>
  <c r="D105" i="13" l="1"/>
  <c r="D106" i="13" s="1"/>
  <c r="D55" i="13"/>
  <c r="D56" i="13" s="1"/>
  <c r="E105" i="13"/>
  <c r="E55" i="13"/>
  <c r="E106" i="13" l="1"/>
  <c r="G105" i="13"/>
  <c r="F105" i="13"/>
  <c r="E56" i="13"/>
  <c r="E107" i="13" s="1"/>
  <c r="F55" i="13"/>
  <c r="G55" i="13"/>
  <c r="D107" i="13"/>
  <c r="G106" i="13" l="1"/>
  <c r="F106" i="13"/>
  <c r="G56" i="13"/>
  <c r="F56" i="13"/>
  <c r="F107" i="13"/>
  <c r="G107" i="13"/>
  <c r="B4" i="14"/>
  <c r="B220" i="14"/>
  <c r="B221" i="14"/>
  <c r="B222" i="14"/>
  <c r="B211" i="14"/>
  <c r="B206" i="14"/>
  <c r="B194" i="14"/>
  <c r="B180" i="14"/>
  <c r="B172" i="14"/>
  <c r="B166" i="14"/>
  <c r="B154" i="14"/>
  <c r="B151" i="14"/>
  <c r="B144" i="14"/>
  <c r="B138" i="14"/>
  <c r="B134" i="14"/>
  <c r="B125" i="14"/>
  <c r="B120" i="14"/>
  <c r="B117" i="14"/>
  <c r="B114" i="14"/>
  <c r="B92" i="14"/>
  <c r="B67" i="14"/>
  <c r="B52" i="14"/>
  <c r="B32" i="14"/>
  <c r="B25" i="14"/>
  <c r="D247" i="14"/>
  <c r="D248" i="14"/>
  <c r="D249" i="14"/>
  <c r="D250" i="14"/>
  <c r="D242" i="14"/>
  <c r="D243" i="14"/>
  <c r="D240" i="14"/>
  <c r="B24" i="14"/>
  <c r="B31" i="14"/>
  <c r="B51" i="14"/>
  <c r="B66" i="14"/>
  <c r="B91" i="14"/>
  <c r="B113" i="14"/>
  <c r="B116" i="14"/>
  <c r="B119" i="14"/>
  <c r="B122" i="14"/>
  <c r="B123" i="14"/>
  <c r="B133" i="14"/>
  <c r="B164" i="14"/>
  <c r="C26" i="14"/>
  <c r="D256" i="14" l="1"/>
  <c r="D268" i="14" s="1"/>
  <c r="B224" i="14"/>
  <c r="B210" i="14"/>
  <c r="B205" i="14"/>
  <c r="B193" i="14"/>
  <c r="B179" i="14"/>
  <c r="B169" i="14"/>
  <c r="B171" i="14"/>
  <c r="B165" i="14"/>
  <c r="B124" i="14"/>
  <c r="C222" i="14"/>
  <c r="D222" i="14"/>
  <c r="D223" i="14" s="1"/>
  <c r="C219" i="14"/>
  <c r="D219" i="14"/>
  <c r="B219" i="14"/>
  <c r="C213" i="14"/>
  <c r="D213" i="14"/>
  <c r="C214" i="14"/>
  <c r="D214" i="14"/>
  <c r="C215" i="14"/>
  <c r="D215" i="14"/>
  <c r="C216" i="14"/>
  <c r="D216" i="14"/>
  <c r="C217" i="14"/>
  <c r="D217" i="14"/>
  <c r="B214" i="14"/>
  <c r="B215" i="14"/>
  <c r="B216" i="14"/>
  <c r="B217" i="14"/>
  <c r="B213" i="14"/>
  <c r="C212" i="14"/>
  <c r="D212" i="14"/>
  <c r="B212" i="14"/>
  <c r="C207" i="14"/>
  <c r="D207" i="14"/>
  <c r="C208" i="14"/>
  <c r="D208" i="14"/>
  <c r="B208" i="14"/>
  <c r="B207" i="14"/>
  <c r="B204" i="14"/>
  <c r="C203" i="14"/>
  <c r="D203" i="14"/>
  <c r="C204" i="14"/>
  <c r="D204" i="14"/>
  <c r="B203" i="14"/>
  <c r="C197" i="14"/>
  <c r="D197" i="14"/>
  <c r="C198" i="14"/>
  <c r="D198" i="14"/>
  <c r="C199" i="14"/>
  <c r="D199" i="14"/>
  <c r="C200" i="14"/>
  <c r="D200" i="14"/>
  <c r="C201" i="14"/>
  <c r="D201" i="14"/>
  <c r="C202" i="14"/>
  <c r="D202" i="14"/>
  <c r="B198" i="14"/>
  <c r="B199" i="14"/>
  <c r="B200" i="14"/>
  <c r="B201" i="14"/>
  <c r="B202" i="14"/>
  <c r="B197" i="14"/>
  <c r="C195" i="14"/>
  <c r="D195" i="14"/>
  <c r="C196" i="14"/>
  <c r="D196" i="14"/>
  <c r="B195" i="14"/>
  <c r="B196" i="14"/>
  <c r="C191" i="14"/>
  <c r="D191" i="14"/>
  <c r="C192" i="14"/>
  <c r="D192" i="14"/>
  <c r="B192" i="14"/>
  <c r="B191" i="14"/>
  <c r="C186" i="14"/>
  <c r="D186" i="14"/>
  <c r="C187" i="14"/>
  <c r="D187" i="14"/>
  <c r="C188" i="14"/>
  <c r="D188" i="14"/>
  <c r="C189" i="14"/>
  <c r="D189" i="14"/>
  <c r="B187" i="14"/>
  <c r="B188" i="14"/>
  <c r="B189" i="14"/>
  <c r="B186" i="14"/>
  <c r="C181" i="14"/>
  <c r="D181" i="14"/>
  <c r="C182" i="14"/>
  <c r="D182" i="14"/>
  <c r="B182" i="14"/>
  <c r="B181" i="14"/>
  <c r="C177" i="14"/>
  <c r="D177" i="14"/>
  <c r="B177" i="14"/>
  <c r="D173" i="14"/>
  <c r="C174" i="14"/>
  <c r="D174" i="14"/>
  <c r="C175" i="14"/>
  <c r="D175" i="14"/>
  <c r="B173" i="14"/>
  <c r="B174" i="14"/>
  <c r="B175" i="14"/>
  <c r="B168" i="14"/>
  <c r="B170" i="14"/>
  <c r="D168" i="14"/>
  <c r="B167" i="14"/>
  <c r="C167" i="14"/>
  <c r="D167" i="14"/>
  <c r="B163" i="14"/>
  <c r="B159" i="14"/>
  <c r="B153" i="14"/>
  <c r="B150" i="14"/>
  <c r="B143" i="14"/>
  <c r="B137" i="14"/>
  <c r="C161" i="14"/>
  <c r="D161" i="14"/>
  <c r="C162" i="14"/>
  <c r="D162" i="14"/>
  <c r="B161" i="14"/>
  <c r="C157" i="14"/>
  <c r="D157" i="14"/>
  <c r="C155" i="14"/>
  <c r="D155" i="14"/>
  <c r="B155" i="14"/>
  <c r="C152" i="14"/>
  <c r="D152" i="14"/>
  <c r="B152" i="14"/>
  <c r="C145" i="14"/>
  <c r="D145" i="14"/>
  <c r="C146" i="14"/>
  <c r="D146" i="14"/>
  <c r="C147" i="14"/>
  <c r="D147" i="14"/>
  <c r="C148" i="14"/>
  <c r="D148" i="14"/>
  <c r="C149" i="14"/>
  <c r="D149" i="14"/>
  <c r="B146" i="14"/>
  <c r="B147" i="14"/>
  <c r="B148" i="14"/>
  <c r="B149" i="14"/>
  <c r="B145" i="14"/>
  <c r="C139" i="14"/>
  <c r="D139" i="14"/>
  <c r="C140" i="14"/>
  <c r="D140" i="14"/>
  <c r="C141" i="14"/>
  <c r="D141" i="14"/>
  <c r="B140" i="14"/>
  <c r="B141" i="14"/>
  <c r="B139" i="14"/>
  <c r="D135" i="14"/>
  <c r="C136" i="14"/>
  <c r="D136" i="14"/>
  <c r="B135" i="14"/>
  <c r="B136" i="14"/>
  <c r="C129" i="14"/>
  <c r="D129" i="14"/>
  <c r="C131" i="14"/>
  <c r="D131" i="14"/>
  <c r="B131" i="14"/>
  <c r="C126" i="14"/>
  <c r="D126" i="14"/>
  <c r="C127" i="14"/>
  <c r="D127" i="14"/>
  <c r="C128" i="14"/>
  <c r="D128" i="14"/>
  <c r="B127" i="14"/>
  <c r="B128" i="14"/>
  <c r="B129" i="14"/>
  <c r="B126" i="14"/>
  <c r="C65" i="14"/>
  <c r="D65" i="14"/>
  <c r="B65" i="14"/>
  <c r="C50" i="14"/>
  <c r="D50" i="14"/>
  <c r="B50" i="14"/>
  <c r="C121" i="14"/>
  <c r="D121" i="14"/>
  <c r="D122" i="14" s="1"/>
  <c r="B121" i="14"/>
  <c r="B118" i="14"/>
  <c r="C118" i="14"/>
  <c r="D118" i="14"/>
  <c r="C115" i="14"/>
  <c r="B115" i="14"/>
  <c r="D115" i="14"/>
  <c r="D116" i="14" s="1"/>
  <c r="C104" i="14"/>
  <c r="D104" i="14"/>
  <c r="C105" i="14"/>
  <c r="D105" i="14"/>
  <c r="C106" i="14"/>
  <c r="D106" i="14"/>
  <c r="C107" i="14"/>
  <c r="D107" i="14"/>
  <c r="C108" i="14"/>
  <c r="D108" i="14"/>
  <c r="C109" i="14"/>
  <c r="D109" i="14"/>
  <c r="C110" i="14"/>
  <c r="D110" i="14"/>
  <c r="C111" i="14"/>
  <c r="D111" i="14"/>
  <c r="C112" i="14"/>
  <c r="D112" i="14"/>
  <c r="B104" i="14"/>
  <c r="B105" i="14"/>
  <c r="B106" i="14"/>
  <c r="B107" i="14"/>
  <c r="B108" i="14"/>
  <c r="B109" i="14"/>
  <c r="B110" i="14"/>
  <c r="B111" i="14"/>
  <c r="B112" i="14"/>
  <c r="C100" i="14"/>
  <c r="D100" i="14"/>
  <c r="C101" i="14"/>
  <c r="D101" i="14"/>
  <c r="C102" i="14"/>
  <c r="D102" i="14"/>
  <c r="C103" i="14"/>
  <c r="D103" i="14"/>
  <c r="B101" i="14"/>
  <c r="B102" i="14"/>
  <c r="B103" i="14"/>
  <c r="B100" i="14"/>
  <c r="C93" i="14"/>
  <c r="D93" i="14"/>
  <c r="C94" i="14"/>
  <c r="D94" i="14"/>
  <c r="C96" i="14"/>
  <c r="D96" i="14"/>
  <c r="C97" i="14"/>
  <c r="D97" i="14"/>
  <c r="C98" i="14"/>
  <c r="D98" i="14"/>
  <c r="B94" i="14"/>
  <c r="B96" i="14"/>
  <c r="B97" i="14"/>
  <c r="B98" i="14"/>
  <c r="B93" i="14"/>
  <c r="B89" i="14"/>
  <c r="D7" i="14"/>
  <c r="C84" i="14"/>
  <c r="D89" i="14"/>
  <c r="C86" i="14"/>
  <c r="D86" i="14"/>
  <c r="C87" i="14"/>
  <c r="D87" i="14"/>
  <c r="C88" i="14"/>
  <c r="D88" i="14"/>
  <c r="B87" i="14"/>
  <c r="B88" i="14"/>
  <c r="B86" i="14"/>
  <c r="C85" i="14"/>
  <c r="D85" i="14"/>
  <c r="B85" i="14"/>
  <c r="B84" i="14"/>
  <c r="C81" i="14"/>
  <c r="D81" i="14"/>
  <c r="C82" i="14"/>
  <c r="D82" i="14"/>
  <c r="B81" i="14"/>
  <c r="C75" i="14"/>
  <c r="D75" i="14"/>
  <c r="C76" i="14"/>
  <c r="D76" i="14"/>
  <c r="C77" i="14"/>
  <c r="D77" i="14"/>
  <c r="C78" i="14"/>
  <c r="D78" i="14"/>
  <c r="C79" i="14"/>
  <c r="D79" i="14"/>
  <c r="C80" i="14"/>
  <c r="D80" i="14"/>
  <c r="B79" i="14"/>
  <c r="B80" i="14"/>
  <c r="B78" i="14"/>
  <c r="B76" i="14"/>
  <c r="B77" i="14"/>
  <c r="B75" i="14"/>
  <c r="C68" i="14"/>
  <c r="D68" i="14"/>
  <c r="C69" i="14"/>
  <c r="D69" i="14"/>
  <c r="C70" i="14"/>
  <c r="D70" i="14"/>
  <c r="C71" i="14"/>
  <c r="D71" i="14"/>
  <c r="C72" i="14"/>
  <c r="D72" i="14"/>
  <c r="C73" i="14"/>
  <c r="D73" i="14"/>
  <c r="C74" i="14"/>
  <c r="D74" i="14"/>
  <c r="B69" i="14"/>
  <c r="B70" i="14"/>
  <c r="B71" i="14"/>
  <c r="B72" i="14"/>
  <c r="B73" i="14"/>
  <c r="B74" i="14"/>
  <c r="B68" i="14"/>
  <c r="C64" i="14"/>
  <c r="D64" i="14"/>
  <c r="B64" i="14"/>
  <c r="C63" i="14"/>
  <c r="D63" i="14"/>
  <c r="B63" i="14"/>
  <c r="B53" i="14"/>
  <c r="C53" i="14"/>
  <c r="C55" i="14"/>
  <c r="B56" i="14"/>
  <c r="C56" i="14"/>
  <c r="B57" i="14"/>
  <c r="C57" i="14"/>
  <c r="B58" i="14"/>
  <c r="C58" i="14"/>
  <c r="B59" i="14"/>
  <c r="C59" i="14"/>
  <c r="B60" i="14"/>
  <c r="C60" i="14"/>
  <c r="B61" i="14"/>
  <c r="C61" i="14"/>
  <c r="B62" i="14"/>
  <c r="C62" i="14"/>
  <c r="B33" i="14"/>
  <c r="C33" i="14"/>
  <c r="B34" i="14"/>
  <c r="C34" i="14"/>
  <c r="B35" i="14"/>
  <c r="C35" i="14"/>
  <c r="B36" i="14"/>
  <c r="C36" i="14"/>
  <c r="B37" i="14"/>
  <c r="C37" i="14"/>
  <c r="B38" i="14"/>
  <c r="C38" i="14"/>
  <c r="B41" i="14"/>
  <c r="C41" i="14"/>
  <c r="B42" i="14"/>
  <c r="C42" i="14"/>
  <c r="B43" i="14"/>
  <c r="C43" i="14"/>
  <c r="B44" i="14"/>
  <c r="C44" i="14"/>
  <c r="B45" i="14"/>
  <c r="C45" i="14"/>
  <c r="B46" i="14"/>
  <c r="C46" i="14"/>
  <c r="B48" i="14"/>
  <c r="C48" i="14"/>
  <c r="B49" i="14"/>
  <c r="C49" i="14"/>
  <c r="B26" i="14"/>
  <c r="B27" i="14"/>
  <c r="C27" i="14"/>
  <c r="B28" i="14"/>
  <c r="C28" i="14"/>
  <c r="B29" i="14"/>
  <c r="C29" i="14"/>
  <c r="B30" i="14"/>
  <c r="C30" i="14"/>
  <c r="B17" i="14"/>
  <c r="B18" i="14"/>
  <c r="C18" i="14"/>
  <c r="B19" i="14"/>
  <c r="C19" i="14"/>
  <c r="B20" i="14"/>
  <c r="C20" i="14"/>
  <c r="B21" i="14"/>
  <c r="C21" i="14"/>
  <c r="B22" i="14"/>
  <c r="C22" i="14"/>
  <c r="B23" i="14"/>
  <c r="C23" i="14"/>
  <c r="D21" i="14"/>
  <c r="D22" i="14"/>
  <c r="D14" i="14"/>
  <c r="D15" i="14"/>
  <c r="D16" i="14"/>
  <c r="C13" i="14"/>
  <c r="C14" i="14"/>
  <c r="C15" i="14"/>
  <c r="C16" i="14"/>
  <c r="B14" i="14"/>
  <c r="B15" i="14"/>
  <c r="B16" i="14"/>
  <c r="B13" i="14"/>
  <c r="D8" i="14"/>
  <c r="D9" i="14"/>
  <c r="D10" i="14"/>
  <c r="D11" i="14"/>
  <c r="C7" i="14"/>
  <c r="C8" i="14"/>
  <c r="C9" i="14"/>
  <c r="C10" i="14"/>
  <c r="C11" i="14"/>
  <c r="B7" i="14"/>
  <c r="B8" i="14"/>
  <c r="B9" i="14"/>
  <c r="B10" i="14"/>
  <c r="B11" i="14"/>
  <c r="D61" i="14"/>
  <c r="D62" i="14"/>
  <c r="D60" i="14"/>
  <c r="D59" i="14"/>
  <c r="D58" i="14"/>
  <c r="D57" i="14"/>
  <c r="D55" i="14"/>
  <c r="D56" i="14"/>
  <c r="D49" i="14"/>
  <c r="D48" i="14"/>
  <c r="D46" i="14"/>
  <c r="D45" i="14"/>
  <c r="D43" i="14"/>
  <c r="D44" i="14"/>
  <c r="D42" i="14"/>
  <c r="D41" i="14"/>
  <c r="D39" i="14"/>
  <c r="D38" i="14"/>
  <c r="D37" i="14"/>
  <c r="D36" i="14"/>
  <c r="D33" i="14"/>
  <c r="D34" i="14"/>
  <c r="D35" i="14"/>
  <c r="D30" i="14"/>
  <c r="D29" i="14"/>
  <c r="D28" i="14"/>
  <c r="D27" i="14"/>
  <c r="D26" i="14"/>
  <c r="D23" i="14"/>
  <c r="D18" i="14"/>
  <c r="D19" i="14"/>
  <c r="D20" i="14"/>
  <c r="D163" i="14" l="1"/>
  <c r="D169" i="14"/>
  <c r="D170" i="14" s="1"/>
  <c r="D179" i="14"/>
  <c r="D91" i="14"/>
  <c r="D113" i="14"/>
  <c r="D220" i="14"/>
  <c r="D143" i="14"/>
  <c r="D133" i="14"/>
  <c r="D210" i="14"/>
  <c r="G164" i="14"/>
  <c r="G225" i="14" s="1"/>
  <c r="G270" i="14" s="1"/>
  <c r="D159" i="14"/>
  <c r="F164" i="14"/>
  <c r="D205" i="14"/>
  <c r="D193" i="14"/>
  <c r="D153" i="14"/>
  <c r="D150" i="14"/>
  <c r="D137" i="14"/>
  <c r="D66" i="14"/>
  <c r="D51" i="14"/>
  <c r="D119" i="14"/>
  <c r="D24" i="14"/>
  <c r="D31" i="14"/>
  <c r="F225" i="14" l="1"/>
  <c r="H225" i="14" s="1"/>
  <c r="H164" i="14"/>
  <c r="I164" i="14"/>
  <c r="G113" i="12"/>
  <c r="G271" i="14"/>
  <c r="D123" i="14"/>
  <c r="D164" i="14"/>
  <c r="D224" i="14"/>
  <c r="I225" i="14" l="1"/>
  <c r="D225" i="14"/>
  <c r="G351" i="7"/>
  <c r="G298" i="7"/>
  <c r="G271" i="7" l="1"/>
  <c r="G266" i="7"/>
  <c r="G255" i="7"/>
  <c r="G481" i="7" s="1"/>
  <c r="G272" i="7" l="1"/>
  <c r="G207" i="7" l="1"/>
  <c r="G210" i="7" s="1"/>
  <c r="G185" i="7"/>
  <c r="G150" i="7"/>
  <c r="G186" i="7" l="1"/>
  <c r="G31" i="7"/>
  <c r="G436" i="7"/>
  <c r="G434" i="7"/>
  <c r="G432" i="7"/>
  <c r="G430" i="7"/>
  <c r="G390" i="7"/>
  <c r="G383" i="7"/>
  <c r="G354" i="7"/>
  <c r="G355" i="7" s="1"/>
  <c r="G349" i="7"/>
  <c r="G345" i="7"/>
  <c r="G340" i="7"/>
  <c r="G331" i="7"/>
  <c r="G285" i="7"/>
  <c r="G482" i="7" s="1"/>
  <c r="G283" i="7"/>
  <c r="J280" i="7"/>
  <c r="J479" i="7" s="1"/>
  <c r="G280" i="7"/>
  <c r="G276" i="7"/>
  <c r="G277" i="7" s="1"/>
  <c r="G252" i="7"/>
  <c r="G259" i="7" s="1"/>
  <c r="G248" i="7"/>
  <c r="G249" i="7" s="1"/>
  <c r="G244" i="7"/>
  <c r="G245" i="7" s="1"/>
  <c r="G240" i="7"/>
  <c r="G229" i="7"/>
  <c r="G226" i="7"/>
  <c r="G221" i="7"/>
  <c r="G222" i="7" s="1"/>
  <c r="G219" i="7"/>
  <c r="G194" i="7"/>
  <c r="G202" i="7" s="1"/>
  <c r="G165" i="7"/>
  <c r="G154" i="7"/>
  <c r="G147" i="7"/>
  <c r="G135" i="7"/>
  <c r="G136" i="7" s="1"/>
  <c r="G106" i="7"/>
  <c r="G113" i="7" s="1"/>
  <c r="G131" i="7"/>
  <c r="G132" i="7" s="1"/>
  <c r="G100" i="7"/>
  <c r="G101" i="7" s="1"/>
  <c r="G91" i="7"/>
  <c r="G96" i="7" s="1"/>
  <c r="G74" i="7"/>
  <c r="G65" i="7"/>
  <c r="G69" i="7" s="1"/>
  <c r="G57" i="7"/>
  <c r="G60" i="7" s="1"/>
  <c r="G47" i="7"/>
  <c r="G48" i="7" s="1"/>
  <c r="G35" i="7"/>
  <c r="G479" i="7" s="1"/>
  <c r="G32" i="7" l="1"/>
  <c r="G480" i="7"/>
  <c r="G80" i="7"/>
  <c r="G36" i="7"/>
  <c r="J286" i="7"/>
  <c r="J438" i="7" s="1"/>
  <c r="G391" i="7"/>
  <c r="G352" i="7"/>
  <c r="G384" i="7"/>
  <c r="G332" i="7"/>
  <c r="G241" i="7"/>
  <c r="G437" i="7"/>
  <c r="G408" i="7"/>
  <c r="G327" i="7"/>
  <c r="G310" i="7"/>
  <c r="G286" i="7"/>
  <c r="G166" i="7"/>
  <c r="G151" i="7"/>
  <c r="G362" i="7"/>
  <c r="G144" i="7"/>
  <c r="G438" i="7" l="1"/>
  <c r="D76" i="12"/>
  <c r="F343" i="4" l="1"/>
  <c r="D89" i="12" s="1"/>
  <c r="D88" i="12"/>
  <c r="F332" i="4"/>
  <c r="D87" i="12" s="1"/>
  <c r="F314" i="4"/>
  <c r="D81" i="12" s="1"/>
  <c r="D56" i="12"/>
  <c r="D57" i="12" s="1"/>
  <c r="C18" i="10" s="1"/>
  <c r="D51" i="12"/>
  <c r="D32" i="12"/>
  <c r="D20" i="12"/>
  <c r="D19" i="12"/>
  <c r="D17" i="12"/>
  <c r="F55" i="4"/>
  <c r="D53" i="12" l="1"/>
  <c r="C16" i="10" s="1"/>
  <c r="F344" i="4"/>
  <c r="D15" i="12"/>
  <c r="D18" i="12"/>
  <c r="E46" i="11"/>
  <c r="E45" i="11"/>
  <c r="E20" i="11"/>
  <c r="D20" i="11"/>
  <c r="G67" i="6"/>
  <c r="F67" i="6"/>
  <c r="D12" i="11" s="1"/>
  <c r="E12" i="11" l="1"/>
  <c r="I67" i="6"/>
  <c r="H67" i="6"/>
  <c r="E4" i="11"/>
  <c r="E47" i="11"/>
  <c r="E50" i="11" l="1"/>
  <c r="F47" i="11"/>
  <c r="G47" i="11"/>
  <c r="C30" i="9"/>
  <c r="D23" i="8" s="1"/>
  <c r="D30" i="9"/>
  <c r="F30" i="9" l="1"/>
  <c r="E30" i="9"/>
  <c r="G50" i="11"/>
  <c r="F50" i="11"/>
  <c r="E23" i="8"/>
  <c r="E25" i="8" s="1"/>
  <c r="C32" i="9"/>
  <c r="D25" i="8"/>
  <c r="D32" i="9"/>
  <c r="D90" i="12"/>
  <c r="F318" i="4"/>
  <c r="D82" i="12" s="1"/>
  <c r="F306" i="4"/>
  <c r="D80" i="12" s="1"/>
  <c r="D70" i="12"/>
  <c r="D30" i="12"/>
  <c r="D21" i="12"/>
  <c r="G25" i="8" l="1"/>
  <c r="F25" i="8"/>
  <c r="F32" i="9"/>
  <c r="E32" i="9"/>
  <c r="C32" i="10"/>
  <c r="F319" i="4"/>
  <c r="D83" i="12" l="1"/>
  <c r="C30" i="10" s="1"/>
  <c r="D5" i="12"/>
  <c r="F300" i="4" l="1"/>
  <c r="D77" i="12"/>
  <c r="D74" i="12"/>
  <c r="F217" i="4"/>
  <c r="G102" i="6"/>
  <c r="F102" i="6"/>
  <c r="D21" i="11" s="1"/>
  <c r="H102" i="6" l="1"/>
  <c r="I102" i="6"/>
  <c r="D78" i="12"/>
  <c r="F301" i="4"/>
  <c r="E21" i="11"/>
  <c r="D69" i="12"/>
  <c r="D58" i="12"/>
  <c r="D59" i="12" s="1"/>
  <c r="C19" i="10" s="1"/>
  <c r="F348" i="4"/>
  <c r="D91" i="12" s="1"/>
  <c r="D63" i="12"/>
  <c r="D62" i="12"/>
  <c r="F238" i="4"/>
  <c r="F225" i="4"/>
  <c r="D42" i="12"/>
  <c r="F169" i="4"/>
  <c r="D41" i="12" s="1"/>
  <c r="D38" i="12"/>
  <c r="D37" i="12"/>
  <c r="D36" i="12"/>
  <c r="D35" i="12"/>
  <c r="D34" i="12"/>
  <c r="D33" i="12"/>
  <c r="D29" i="12"/>
  <c r="D28" i="12"/>
  <c r="F104" i="4"/>
  <c r="D25" i="12"/>
  <c r="D24" i="12"/>
  <c r="F83" i="4"/>
  <c r="D13" i="12"/>
  <c r="D12" i="12"/>
  <c r="D11" i="12"/>
  <c r="D10" i="12"/>
  <c r="D9" i="12"/>
  <c r="F31" i="4"/>
  <c r="D7" i="12" s="1"/>
  <c r="D6" i="12"/>
  <c r="G142" i="6"/>
  <c r="F142" i="6"/>
  <c r="G74" i="6"/>
  <c r="F74" i="6"/>
  <c r="G134" i="6"/>
  <c r="D26" i="11"/>
  <c r="E25" i="11"/>
  <c r="D25" i="11"/>
  <c r="D24" i="11"/>
  <c r="E23" i="11"/>
  <c r="G88" i="6"/>
  <c r="F88" i="6"/>
  <c r="D19" i="11" s="1"/>
  <c r="G81" i="6"/>
  <c r="F81" i="6"/>
  <c r="F63" i="6"/>
  <c r="D11" i="11" s="1"/>
  <c r="G56" i="6"/>
  <c r="F56" i="6"/>
  <c r="D10" i="11" s="1"/>
  <c r="G48" i="6"/>
  <c r="F48" i="6"/>
  <c r="D9" i="11" s="1"/>
  <c r="G40" i="6"/>
  <c r="F40" i="6"/>
  <c r="D8" i="11" s="1"/>
  <c r="G32" i="6"/>
  <c r="F32" i="6"/>
  <c r="D7" i="11" s="1"/>
  <c r="G24" i="6"/>
  <c r="F24" i="6"/>
  <c r="G17" i="6"/>
  <c r="F17" i="6"/>
  <c r="D5" i="11" s="1"/>
  <c r="E29" i="11" l="1"/>
  <c r="H142" i="6"/>
  <c r="I142" i="6"/>
  <c r="I134" i="6"/>
  <c r="H134" i="6"/>
  <c r="E19" i="11"/>
  <c r="H88" i="6"/>
  <c r="I88" i="6"/>
  <c r="I81" i="6"/>
  <c r="H81" i="6"/>
  <c r="H74" i="6"/>
  <c r="I74" i="6"/>
  <c r="E10" i="11"/>
  <c r="I56" i="6"/>
  <c r="H56" i="6"/>
  <c r="E9" i="11"/>
  <c r="I48" i="6"/>
  <c r="H48" i="6"/>
  <c r="E8" i="11"/>
  <c r="I40" i="6"/>
  <c r="H40" i="6"/>
  <c r="E7" i="11"/>
  <c r="I32" i="6"/>
  <c r="H32" i="6"/>
  <c r="E6" i="11"/>
  <c r="I24" i="6"/>
  <c r="H24" i="6"/>
  <c r="H17" i="6"/>
  <c r="I17" i="6"/>
  <c r="G103" i="6"/>
  <c r="F103" i="6"/>
  <c r="F136" i="6" s="1"/>
  <c r="D6" i="11"/>
  <c r="F68" i="6"/>
  <c r="D27" i="12"/>
  <c r="F114" i="4"/>
  <c r="D79" i="12"/>
  <c r="C29" i="10" s="1"/>
  <c r="E26" i="11"/>
  <c r="G135" i="6"/>
  <c r="E24" i="11"/>
  <c r="G68" i="6"/>
  <c r="F32" i="4"/>
  <c r="E5" i="11"/>
  <c r="F75" i="6"/>
  <c r="D15" i="11"/>
  <c r="D16" i="11" s="1"/>
  <c r="F143" i="6"/>
  <c r="D29" i="11"/>
  <c r="D30" i="11" s="1"/>
  <c r="C15" i="9" s="1"/>
  <c r="D27" i="11"/>
  <c r="C12" i="9" s="1"/>
  <c r="D18" i="11"/>
  <c r="D22" i="11" s="1"/>
  <c r="E18" i="11"/>
  <c r="E22" i="11" s="1"/>
  <c r="G75" i="6"/>
  <c r="E15" i="11"/>
  <c r="E16" i="11" s="1"/>
  <c r="G143" i="6"/>
  <c r="E30" i="11"/>
  <c r="D65" i="12"/>
  <c r="C21" i="10" s="1"/>
  <c r="D16" i="12"/>
  <c r="D14" i="12"/>
  <c r="C6" i="10" s="1"/>
  <c r="F349" i="4"/>
  <c r="D92" i="12"/>
  <c r="C33" i="10" s="1"/>
  <c r="D71" i="12"/>
  <c r="C25" i="10" s="1"/>
  <c r="C26" i="10" s="1"/>
  <c r="K7" i="8" s="1"/>
  <c r="D49" i="12"/>
  <c r="C13" i="10" s="1"/>
  <c r="F239" i="4"/>
  <c r="D60" i="12"/>
  <c r="D61" i="12" s="1"/>
  <c r="C20" i="10" s="1"/>
  <c r="D66" i="12"/>
  <c r="D67" i="12" s="1"/>
  <c r="C22" i="10" s="1"/>
  <c r="D73" i="12"/>
  <c r="D39" i="12"/>
  <c r="C9" i="10" s="1"/>
  <c r="F186" i="4"/>
  <c r="D40" i="12"/>
  <c r="D23" i="12"/>
  <c r="D26" i="12"/>
  <c r="F181" i="4"/>
  <c r="F49" i="4"/>
  <c r="F191" i="4"/>
  <c r="F30" i="11" l="1"/>
  <c r="G30" i="11"/>
  <c r="F22" i="11"/>
  <c r="G22" i="11"/>
  <c r="G16" i="11"/>
  <c r="F16" i="11"/>
  <c r="H143" i="6"/>
  <c r="I143" i="6"/>
  <c r="I135" i="6"/>
  <c r="H135" i="6"/>
  <c r="I103" i="6"/>
  <c r="H103" i="6"/>
  <c r="I75" i="6"/>
  <c r="H75" i="6"/>
  <c r="G69" i="6"/>
  <c r="I68" i="6"/>
  <c r="H68" i="6"/>
  <c r="F197" i="4"/>
  <c r="C11" i="9"/>
  <c r="C13" i="9" s="1"/>
  <c r="D7" i="8" s="1"/>
  <c r="D28" i="11"/>
  <c r="D11" i="9"/>
  <c r="E11" i="9" s="1"/>
  <c r="D13" i="11"/>
  <c r="D14" i="11" s="1"/>
  <c r="G136" i="6"/>
  <c r="F69" i="6"/>
  <c r="K24" i="8"/>
  <c r="K25" i="8" s="1"/>
  <c r="E17" i="11"/>
  <c r="D8" i="9"/>
  <c r="E31" i="11"/>
  <c r="D15" i="9"/>
  <c r="D31" i="11"/>
  <c r="C16" i="9"/>
  <c r="D8" i="8" s="1"/>
  <c r="D17" i="11"/>
  <c r="C8" i="9"/>
  <c r="C9" i="9" s="1"/>
  <c r="D6" i="8" s="1"/>
  <c r="F350" i="4"/>
  <c r="E27" i="11"/>
  <c r="C23" i="10"/>
  <c r="K6" i="8" s="1"/>
  <c r="E13" i="11"/>
  <c r="D8" i="12"/>
  <c r="C5" i="10" s="1"/>
  <c r="F14" i="10"/>
  <c r="N5" i="8" s="1"/>
  <c r="D86" i="12"/>
  <c r="C31" i="10" s="1"/>
  <c r="D75" i="12"/>
  <c r="G76" i="6"/>
  <c r="F76" i="6"/>
  <c r="D68" i="12"/>
  <c r="G144" i="6"/>
  <c r="F144" i="6"/>
  <c r="E14" i="10"/>
  <c r="D22" i="12"/>
  <c r="C7" i="10" s="1"/>
  <c r="E34" i="10"/>
  <c r="E23" i="10"/>
  <c r="E26" i="10"/>
  <c r="F26" i="10"/>
  <c r="N7" i="8" s="1"/>
  <c r="D72" i="12"/>
  <c r="F23" i="10"/>
  <c r="N6" i="8" s="1"/>
  <c r="F34" i="10"/>
  <c r="N8" i="8" s="1"/>
  <c r="D31" i="12"/>
  <c r="C8" i="10" s="1"/>
  <c r="D43" i="12"/>
  <c r="F258" i="4"/>
  <c r="M7" i="8" l="1"/>
  <c r="H26" i="10"/>
  <c r="G26" i="10"/>
  <c r="M8" i="8"/>
  <c r="G34" i="10"/>
  <c r="H34" i="10"/>
  <c r="M6" i="8"/>
  <c r="G23" i="10"/>
  <c r="H23" i="10"/>
  <c r="M5" i="8"/>
  <c r="G14" i="10"/>
  <c r="H14" i="10"/>
  <c r="G31" i="11"/>
  <c r="F31" i="11"/>
  <c r="D16" i="9"/>
  <c r="E15" i="9"/>
  <c r="D12" i="9"/>
  <c r="E12" i="9" s="1"/>
  <c r="G27" i="11"/>
  <c r="F27" i="11"/>
  <c r="D9" i="9"/>
  <c r="E8" i="9"/>
  <c r="F17" i="11"/>
  <c r="G17" i="11"/>
  <c r="G13" i="11"/>
  <c r="F13" i="11"/>
  <c r="I144" i="6"/>
  <c r="H144" i="6"/>
  <c r="I136" i="6"/>
  <c r="H136" i="6"/>
  <c r="H76" i="6"/>
  <c r="I76" i="6"/>
  <c r="H69" i="6"/>
  <c r="I69" i="6"/>
  <c r="F351" i="4"/>
  <c r="F352" i="4" s="1"/>
  <c r="E28" i="11"/>
  <c r="F145" i="6"/>
  <c r="D5" i="9"/>
  <c r="E14" i="11"/>
  <c r="D32" i="11"/>
  <c r="C5" i="9"/>
  <c r="G145" i="6"/>
  <c r="N9" i="8"/>
  <c r="N11" i="8" s="1"/>
  <c r="N28" i="8" s="1"/>
  <c r="C10" i="10"/>
  <c r="C28" i="10"/>
  <c r="D93" i="12"/>
  <c r="D50" i="12"/>
  <c r="E35" i="10"/>
  <c r="F35" i="10"/>
  <c r="F48" i="10" s="1"/>
  <c r="F49" i="10" s="1"/>
  <c r="P8" i="8" l="1"/>
  <c r="O8" i="8"/>
  <c r="P6" i="8"/>
  <c r="O6" i="8"/>
  <c r="O5" i="8"/>
  <c r="P5" i="8"/>
  <c r="O7" i="8"/>
  <c r="P7" i="8"/>
  <c r="H35" i="10"/>
  <c r="G35" i="10"/>
  <c r="E8" i="8"/>
  <c r="E16" i="9"/>
  <c r="D13" i="9"/>
  <c r="E7" i="8" s="1"/>
  <c r="F28" i="11"/>
  <c r="G28" i="11"/>
  <c r="E6" i="8"/>
  <c r="E9" i="9"/>
  <c r="F14" i="11"/>
  <c r="G14" i="11"/>
  <c r="E5" i="9"/>
  <c r="G148" i="6"/>
  <c r="I145" i="6"/>
  <c r="H145" i="6"/>
  <c r="M481" i="7"/>
  <c r="M480" i="7"/>
  <c r="F148" i="6"/>
  <c r="D109" i="13" s="1"/>
  <c r="D34" i="11" s="1"/>
  <c r="C19" i="9" s="1"/>
  <c r="D10" i="8" s="1"/>
  <c r="E32" i="11"/>
  <c r="D6" i="9"/>
  <c r="C6" i="9"/>
  <c r="D5" i="8" s="1"/>
  <c r="C34" i="10"/>
  <c r="K8" i="8" s="1"/>
  <c r="C14" i="10"/>
  <c r="K5" i="8" s="1"/>
  <c r="D94" i="12"/>
  <c r="M9" i="8"/>
  <c r="F6" i="8" l="1"/>
  <c r="F8" i="8"/>
  <c r="M11" i="8"/>
  <c r="O9" i="8"/>
  <c r="P9" i="8"/>
  <c r="F7" i="8"/>
  <c r="E13" i="9"/>
  <c r="E5" i="8"/>
  <c r="E6" i="9"/>
  <c r="F32" i="11"/>
  <c r="G32" i="11"/>
  <c r="I444" i="7"/>
  <c r="H148" i="6"/>
  <c r="I148" i="6"/>
  <c r="G149" i="6"/>
  <c r="G150" i="6" s="1"/>
  <c r="E109" i="13"/>
  <c r="E110" i="13" s="1"/>
  <c r="F149" i="6"/>
  <c r="F150" i="6" s="1"/>
  <c r="D110" i="13"/>
  <c r="D111" i="13" s="1"/>
  <c r="D9" i="8"/>
  <c r="C17" i="9"/>
  <c r="D17" i="9"/>
  <c r="C35" i="10"/>
  <c r="E9" i="8" l="1"/>
  <c r="F5" i="8"/>
  <c r="P11" i="8"/>
  <c r="O11" i="8"/>
  <c r="E17" i="9"/>
  <c r="F110" i="13"/>
  <c r="G110" i="13"/>
  <c r="E34" i="11"/>
  <c r="F109" i="13"/>
  <c r="G109" i="13"/>
  <c r="I446" i="7"/>
  <c r="L446" i="7" s="1"/>
  <c r="L444" i="7"/>
  <c r="H150" i="6"/>
  <c r="I150" i="6"/>
  <c r="I149" i="6"/>
  <c r="H149" i="6"/>
  <c r="H360" i="4"/>
  <c r="K360" i="4" s="1"/>
  <c r="K444" i="7"/>
  <c r="F151" i="6"/>
  <c r="F363" i="4"/>
  <c r="F160" i="6" s="1"/>
  <c r="F161" i="6" s="1"/>
  <c r="D35" i="11"/>
  <c r="D36" i="11" s="1"/>
  <c r="K9" i="8"/>
  <c r="K11" i="8" s="1"/>
  <c r="F9" i="8" l="1"/>
  <c r="I484" i="7"/>
  <c r="L484" i="7" s="1"/>
  <c r="K446" i="7"/>
  <c r="F99" i="12"/>
  <c r="F101" i="12" s="1"/>
  <c r="F232" i="14"/>
  <c r="I232" i="14" s="1"/>
  <c r="J360" i="4"/>
  <c r="H362" i="4"/>
  <c r="J362" i="4" s="1"/>
  <c r="D19" i="9"/>
  <c r="E35" i="11"/>
  <c r="K484" i="7"/>
  <c r="G151" i="6"/>
  <c r="F406" i="4"/>
  <c r="F364" i="4"/>
  <c r="K18" i="8"/>
  <c r="D233" i="14"/>
  <c r="F233" i="14"/>
  <c r="F234" i="14" s="1"/>
  <c r="E111" i="13"/>
  <c r="E10" i="8" l="1"/>
  <c r="E19" i="9"/>
  <c r="E36" i="11"/>
  <c r="F35" i="11"/>
  <c r="G35" i="11"/>
  <c r="F36" i="11"/>
  <c r="G36" i="11"/>
  <c r="H101" i="12"/>
  <c r="I101" i="12"/>
  <c r="H363" i="4"/>
  <c r="H364" i="4" s="1"/>
  <c r="J364" i="4" s="1"/>
  <c r="H232" i="14"/>
  <c r="K362" i="4"/>
  <c r="G111" i="13"/>
  <c r="F111" i="13"/>
  <c r="F235" i="14"/>
  <c r="I234" i="14"/>
  <c r="H234" i="14"/>
  <c r="H406" i="4"/>
  <c r="D118" i="13"/>
  <c r="D17" i="8"/>
  <c r="D18" i="8" s="1"/>
  <c r="L18" i="8"/>
  <c r="L19" i="8" s="1"/>
  <c r="E233" i="14"/>
  <c r="E234" i="14" s="1"/>
  <c r="E235" i="14" s="1"/>
  <c r="E270" i="14" s="1"/>
  <c r="D11" i="8"/>
  <c r="M19" i="8"/>
  <c r="M28" i="8" l="1"/>
  <c r="O19" i="8"/>
  <c r="P19" i="8"/>
  <c r="G6" i="8"/>
  <c r="G7" i="8"/>
  <c r="G8" i="8"/>
  <c r="G5" i="8"/>
  <c r="G9" i="8"/>
  <c r="L28" i="8"/>
  <c r="P15" i="8"/>
  <c r="E11" i="8"/>
  <c r="G10" i="8"/>
  <c r="F10" i="8"/>
  <c r="J363" i="4"/>
  <c r="K363" i="4"/>
  <c r="G160" i="6"/>
  <c r="I160" i="6" s="1"/>
  <c r="F270" i="14"/>
  <c r="H235" i="14"/>
  <c r="I235" i="14"/>
  <c r="E39" i="10"/>
  <c r="E40" i="10" s="1"/>
  <c r="F102" i="12"/>
  <c r="D234" i="14"/>
  <c r="K19" i="8"/>
  <c r="C20" i="9"/>
  <c r="C21" i="9" s="1"/>
  <c r="D20" i="9"/>
  <c r="G11" i="8" l="1"/>
  <c r="F11" i="8"/>
  <c r="E48" i="10"/>
  <c r="G40" i="10"/>
  <c r="H40" i="10"/>
  <c r="D21" i="9"/>
  <c r="F9" i="9" s="1"/>
  <c r="E20" i="9"/>
  <c r="F112" i="12"/>
  <c r="I102" i="12"/>
  <c r="H102" i="12"/>
  <c r="E17" i="8"/>
  <c r="H160" i="6"/>
  <c r="E41" i="11"/>
  <c r="G161" i="6"/>
  <c r="H161" i="6" s="1"/>
  <c r="F113" i="12"/>
  <c r="F162" i="6"/>
  <c r="E118" i="13"/>
  <c r="K28" i="8"/>
  <c r="D235" i="14"/>
  <c r="F271" i="14"/>
  <c r="D39" i="10"/>
  <c r="D40" i="10" s="1"/>
  <c r="D48" i="10" s="1"/>
  <c r="E102" i="12"/>
  <c r="E112" i="12" s="1"/>
  <c r="E49" i="10"/>
  <c r="E18" i="8" l="1"/>
  <c r="F17" i="8"/>
  <c r="F13" i="9"/>
  <c r="F21" i="9"/>
  <c r="F8" i="9"/>
  <c r="F6" i="9"/>
  <c r="F17" i="9"/>
  <c r="F11" i="9"/>
  <c r="F12" i="9"/>
  <c r="F15" i="9"/>
  <c r="F19" i="9"/>
  <c r="E21" i="9"/>
  <c r="F20" i="9"/>
  <c r="F16" i="9"/>
  <c r="G162" i="6"/>
  <c r="G203" i="6" s="1"/>
  <c r="I161" i="6"/>
  <c r="H162" i="6"/>
  <c r="I162" i="6"/>
  <c r="E119" i="13"/>
  <c r="G118" i="13"/>
  <c r="F118" i="13"/>
  <c r="F203" i="6"/>
  <c r="F204" i="6" s="1"/>
  <c r="D41" i="11"/>
  <c r="E271" i="14"/>
  <c r="D49" i="10"/>
  <c r="E113" i="12"/>
  <c r="D270" i="14"/>
  <c r="E19" i="8" l="1"/>
  <c r="F18" i="8"/>
  <c r="E120" i="13"/>
  <c r="F119" i="13"/>
  <c r="G119" i="13"/>
  <c r="D42" i="11"/>
  <c r="C25" i="9" s="1"/>
  <c r="C26" i="9" s="1"/>
  <c r="D119" i="13"/>
  <c r="D120" i="13" s="1"/>
  <c r="D271" i="14"/>
  <c r="C39" i="10"/>
  <c r="D102" i="12"/>
  <c r="D112" i="12" s="1"/>
  <c r="E28" i="8" l="1"/>
  <c r="E29" i="8" s="1"/>
  <c r="F120" i="13"/>
  <c r="G120" i="13"/>
  <c r="D19" i="8"/>
  <c r="G19" i="8" s="1"/>
  <c r="C40" i="10"/>
  <c r="D113" i="12"/>
  <c r="G15" i="8" l="1"/>
  <c r="G16" i="8"/>
  <c r="G17" i="8"/>
  <c r="G18" i="8"/>
  <c r="F19" i="8"/>
  <c r="D28" i="8"/>
  <c r="D29" i="8" s="1"/>
  <c r="C48" i="10"/>
  <c r="C49" i="10" s="1"/>
  <c r="C34" i="9" l="1"/>
  <c r="D52" i="11"/>
  <c r="C35" i="9" l="1"/>
  <c r="E42" i="11"/>
  <c r="D25" i="9" l="1"/>
  <c r="F42" i="11"/>
  <c r="G42" i="11"/>
  <c r="G204" i="6"/>
  <c r="E52" i="11"/>
  <c r="F25" i="9" l="1"/>
  <c r="E25" i="9"/>
  <c r="D26" i="9"/>
  <c r="D34" i="9" l="1"/>
  <c r="D35" i="9" s="1"/>
  <c r="E26" i="9"/>
  <c r="F26" i="9"/>
  <c r="D155" i="13"/>
  <c r="D156" i="13" s="1"/>
  <c r="D53" i="11" l="1"/>
  <c r="E155" i="13"/>
  <c r="E53" i="11" s="1"/>
  <c r="E156" i="13" l="1"/>
  <c r="G483" i="7" l="1"/>
  <c r="G488" i="7" l="1"/>
  <c r="F407" i="4" s="1"/>
  <c r="G487" i="7"/>
  <c r="H483" i="7"/>
  <c r="H488" i="7" l="1"/>
  <c r="G407" i="4" s="1"/>
  <c r="L481" i="7"/>
  <c r="L482" i="7"/>
  <c r="L480" i="7"/>
  <c r="L479" i="7"/>
  <c r="L483" i="7"/>
  <c r="H487" i="7"/>
  <c r="K438" i="7"/>
  <c r="H352" i="4"/>
  <c r="L438" i="7"/>
  <c r="K479" i="7"/>
  <c r="G352" i="4"/>
  <c r="L7" i="7"/>
  <c r="L11" i="7"/>
  <c r="L13" i="7"/>
  <c r="L19" i="7"/>
  <c r="L23" i="7"/>
  <c r="L27" i="7"/>
  <c r="L33" i="7"/>
  <c r="L37" i="7"/>
  <c r="L40" i="7"/>
  <c r="L44" i="7"/>
  <c r="L46" i="7"/>
  <c r="L50" i="7"/>
  <c r="L54" i="7"/>
  <c r="L56" i="7"/>
  <c r="L61" i="7"/>
  <c r="L63" i="7"/>
  <c r="L66" i="7"/>
  <c r="L70" i="7"/>
  <c r="L72" i="7"/>
  <c r="L75" i="7"/>
  <c r="L79" i="7"/>
  <c r="L81" i="7"/>
  <c r="L83" i="7"/>
  <c r="L85" i="7"/>
  <c r="L89" i="7"/>
  <c r="L92" i="7"/>
  <c r="L94" i="7"/>
  <c r="L98" i="7"/>
  <c r="L102" i="7"/>
  <c r="L104" i="7"/>
  <c r="L107" i="7"/>
  <c r="L109" i="7"/>
  <c r="L111" i="7"/>
  <c r="L115" i="7"/>
  <c r="L119" i="7"/>
  <c r="L121" i="7"/>
  <c r="L124" i="7"/>
  <c r="L128" i="7"/>
  <c r="L130" i="7"/>
  <c r="L134" i="7"/>
  <c r="L138" i="7"/>
  <c r="L140" i="7"/>
  <c r="L142" i="7"/>
  <c r="L146" i="7"/>
  <c r="L148" i="7"/>
  <c r="L152" i="7"/>
  <c r="L156" i="7"/>
  <c r="L14" i="7"/>
  <c r="L18" i="7"/>
  <c r="L30" i="7"/>
  <c r="L51" i="7"/>
  <c r="L105" i="7"/>
  <c r="L137" i="7"/>
  <c r="L155" i="7"/>
  <c r="L12" i="7"/>
  <c r="L34" i="7"/>
  <c r="L45" i="7"/>
  <c r="L49" i="7"/>
  <c r="L58" i="7"/>
  <c r="L64" i="7"/>
  <c r="L78" i="7"/>
  <c r="L90" i="7"/>
  <c r="L103" i="7"/>
  <c r="L108" i="7"/>
  <c r="L114" i="7"/>
  <c r="L120" i="7"/>
  <c r="L149" i="7"/>
  <c r="L158" i="7"/>
  <c r="L160" i="7"/>
  <c r="L162" i="7"/>
  <c r="L164" i="7"/>
  <c r="L168" i="7"/>
  <c r="L170" i="7"/>
  <c r="L172" i="7"/>
  <c r="L174" i="7"/>
  <c r="L176" i="7"/>
  <c r="L178" i="7"/>
  <c r="L180" i="7"/>
  <c r="L182" i="7"/>
  <c r="L184" i="7"/>
  <c r="L187" i="7"/>
  <c r="L189" i="7"/>
  <c r="L191" i="7"/>
  <c r="L193" i="7"/>
  <c r="L195" i="7"/>
  <c r="L197" i="7"/>
  <c r="L199" i="7"/>
  <c r="L204" i="7"/>
  <c r="L206" i="7"/>
  <c r="L211" i="7"/>
  <c r="L213" i="7"/>
  <c r="L217" i="7"/>
  <c r="L223" i="7"/>
  <c r="L227" i="7"/>
  <c r="L231" i="7"/>
  <c r="L233" i="7"/>
  <c r="L235" i="7"/>
  <c r="L239" i="7"/>
  <c r="L243" i="7"/>
  <c r="L247" i="7"/>
  <c r="L251" i="7"/>
  <c r="L253" i="7"/>
  <c r="L257" i="7"/>
  <c r="L261" i="7"/>
  <c r="L263" i="7"/>
  <c r="L265" i="7"/>
  <c r="L267" i="7"/>
  <c r="L269" i="7"/>
  <c r="L273" i="7"/>
  <c r="L275" i="7"/>
  <c r="L279" i="7"/>
  <c r="L281" i="7"/>
  <c r="L284" i="7"/>
  <c r="L288" i="7"/>
  <c r="L290" i="7"/>
  <c r="L292" i="7"/>
  <c r="L294" i="7"/>
  <c r="L296" i="7"/>
  <c r="L6" i="7"/>
  <c r="L10" i="7"/>
  <c r="L16" i="7"/>
  <c r="L28" i="7"/>
  <c r="L38" i="7"/>
  <c r="L43" i="7"/>
  <c r="L62" i="7"/>
  <c r="L67" i="7"/>
  <c r="L73" i="7"/>
  <c r="L88" i="7"/>
  <c r="L93" i="7"/>
  <c r="L99" i="7"/>
  <c r="L118" i="7"/>
  <c r="L125" i="7"/>
  <c r="L153" i="7"/>
  <c r="L20" i="7"/>
  <c r="L129" i="7"/>
  <c r="L133" i="7"/>
  <c r="L163" i="7"/>
  <c r="L167" i="7"/>
  <c r="L175" i="7"/>
  <c r="L200" i="7"/>
  <c r="L203" i="7"/>
  <c r="L208" i="7"/>
  <c r="L212" i="7"/>
  <c r="L216" i="7"/>
  <c r="L220" i="7"/>
  <c r="L224" i="7"/>
  <c r="L262" i="7"/>
  <c r="L289" i="7"/>
  <c r="L297" i="7"/>
  <c r="L300" i="7"/>
  <c r="L302" i="7"/>
  <c r="L304" i="7"/>
  <c r="L306" i="7"/>
  <c r="L308" i="7"/>
  <c r="L311" i="7"/>
  <c r="L313" i="7"/>
  <c r="L315" i="7"/>
  <c r="L317" i="7"/>
  <c r="L350" i="7"/>
  <c r="L353" i="7"/>
  <c r="L356" i="7"/>
  <c r="L357" i="7"/>
  <c r="L364" i="7"/>
  <c r="L366" i="7"/>
  <c r="L368" i="7"/>
  <c r="L370" i="7"/>
  <c r="L319" i="7"/>
  <c r="L76" i="7"/>
  <c r="L97" i="7"/>
  <c r="L139" i="7"/>
  <c r="L145" i="7"/>
  <c r="L161" i="7"/>
  <c r="L173" i="7"/>
  <c r="L192" i="7"/>
  <c r="L198" i="7"/>
  <c r="L230" i="7"/>
  <c r="L256" i="7"/>
  <c r="L260" i="7"/>
  <c r="L287" i="7"/>
  <c r="L295" i="7"/>
  <c r="L320" i="7"/>
  <c r="L322" i="7"/>
  <c r="L323" i="7"/>
  <c r="L325" i="7"/>
  <c r="L328" i="7"/>
  <c r="L330" i="7"/>
  <c r="L333" i="7"/>
  <c r="L338" i="7"/>
  <c r="L341" i="7"/>
  <c r="L343" i="7"/>
  <c r="L346" i="7"/>
  <c r="L348" i="7"/>
  <c r="L359" i="7"/>
  <c r="L373" i="7"/>
  <c r="L378" i="7"/>
  <c r="L380" i="7"/>
  <c r="L382" i="7"/>
  <c r="L385" i="7"/>
  <c r="L387" i="7"/>
  <c r="L389" i="7"/>
  <c r="L392" i="7"/>
  <c r="L394" i="7"/>
  <c r="L396" i="7"/>
  <c r="L398" i="7"/>
  <c r="L400" i="7"/>
  <c r="L402" i="7"/>
  <c r="L405" i="7"/>
  <c r="L409" i="7"/>
  <c r="L411" i="7"/>
  <c r="L413" i="7"/>
  <c r="L415" i="7"/>
  <c r="L417" i="7"/>
  <c r="L419" i="7"/>
  <c r="L421" i="7"/>
  <c r="L423" i="7"/>
  <c r="L425" i="7"/>
  <c r="L427" i="7"/>
  <c r="L435" i="7"/>
  <c r="L24" i="7"/>
  <c r="L55" i="7"/>
  <c r="L71" i="7"/>
  <c r="L82" i="7"/>
  <c r="L157" i="7"/>
  <c r="L169" i="7"/>
  <c r="L177" i="7"/>
  <c r="L183" i="7"/>
  <c r="L188" i="7"/>
  <c r="L205" i="7"/>
  <c r="L254" i="7"/>
  <c r="L264" i="7"/>
  <c r="L282" i="7"/>
  <c r="L291" i="7"/>
  <c r="L321" i="7"/>
  <c r="L324" i="7"/>
  <c r="L329" i="7"/>
  <c r="L334" i="7"/>
  <c r="L123" i="7"/>
  <c r="L159" i="7"/>
  <c r="L171" i="7"/>
  <c r="L179" i="7"/>
  <c r="L190" i="7"/>
  <c r="L196" i="7"/>
  <c r="L234" i="7"/>
  <c r="L238" i="7"/>
  <c r="L242" i="7"/>
  <c r="L246" i="7"/>
  <c r="L250" i="7"/>
  <c r="L270" i="7"/>
  <c r="L274" i="7"/>
  <c r="L278" i="7"/>
  <c r="L293" i="7"/>
  <c r="L299" i="7"/>
  <c r="L301" i="7"/>
  <c r="L303" i="7"/>
  <c r="L305" i="7"/>
  <c r="L307" i="7"/>
  <c r="L312" i="7"/>
  <c r="L314" i="7"/>
  <c r="L316" i="7"/>
  <c r="L363" i="7"/>
  <c r="L365" i="7"/>
  <c r="L367" i="7"/>
  <c r="L369" i="7"/>
  <c r="L433" i="7"/>
  <c r="L360" i="7"/>
  <c r="L372" i="7"/>
  <c r="L379" i="7"/>
  <c r="L386" i="7"/>
  <c r="L393" i="7"/>
  <c r="L401" i="7"/>
  <c r="L414" i="7"/>
  <c r="L422" i="7"/>
  <c r="L337" i="7"/>
  <c r="L377" i="7"/>
  <c r="L399" i="7"/>
  <c r="L406" i="7"/>
  <c r="L412" i="7"/>
  <c r="L420" i="7"/>
  <c r="L428" i="7"/>
  <c r="L342" i="7"/>
  <c r="L397" i="7"/>
  <c r="L404" i="7"/>
  <c r="L410" i="7"/>
  <c r="L418" i="7"/>
  <c r="L426" i="7"/>
  <c r="L347" i="7"/>
  <c r="L374" i="7"/>
  <c r="L381" i="7"/>
  <c r="L388" i="7"/>
  <c r="L395" i="7"/>
  <c r="L403" i="7"/>
  <c r="L416" i="7"/>
  <c r="L424" i="7"/>
  <c r="L431" i="7"/>
  <c r="L84" i="7"/>
  <c r="L126" i="7"/>
  <c r="L371" i="7"/>
  <c r="L29" i="7"/>
  <c r="L25" i="7"/>
  <c r="L26" i="7"/>
  <c r="L209" i="7"/>
  <c r="L68" i="7"/>
  <c r="L95" i="7"/>
  <c r="L59" i="7"/>
  <c r="L77" i="7"/>
  <c r="L407" i="7"/>
  <c r="L110" i="7"/>
  <c r="L361" i="7"/>
  <c r="L358" i="7"/>
  <c r="L39" i="7"/>
  <c r="L201" i="7"/>
  <c r="L122" i="7"/>
  <c r="L228" i="7"/>
  <c r="L240" i="7"/>
  <c r="L266" i="7"/>
  <c r="L432" i="7"/>
  <c r="L309" i="7"/>
  <c r="L252" i="7"/>
  <c r="L351" i="7"/>
  <c r="L429" i="7"/>
  <c r="L232" i="7"/>
  <c r="L271" i="7"/>
  <c r="L248" i="7"/>
  <c r="L344" i="7"/>
  <c r="L375" i="7"/>
  <c r="L436" i="7"/>
  <c r="L207" i="7"/>
  <c r="L285" i="7"/>
  <c r="L349" i="7"/>
  <c r="L143" i="7"/>
  <c r="L225" i="7"/>
  <c r="L255" i="7"/>
  <c r="L318" i="7"/>
  <c r="L236" i="7"/>
  <c r="L383" i="7"/>
  <c r="L244" i="7"/>
  <c r="L194" i="7"/>
  <c r="L283" i="7"/>
  <c r="L390" i="7"/>
  <c r="L135" i="7"/>
  <c r="L276" i="7"/>
  <c r="L339" i="7"/>
  <c r="L331" i="7"/>
  <c r="L218" i="7"/>
  <c r="L298" i="7"/>
  <c r="L214" i="7"/>
  <c r="L335" i="7"/>
  <c r="L354" i="7"/>
  <c r="L131" i="7"/>
  <c r="L268" i="7"/>
  <c r="L258" i="7"/>
  <c r="L326" i="7"/>
  <c r="L408" i="7"/>
  <c r="L434" i="7"/>
  <c r="L35" i="7"/>
  <c r="L141" i="7"/>
  <c r="L221" i="7"/>
  <c r="L47" i="7"/>
  <c r="L116" i="7"/>
  <c r="L31" i="7"/>
  <c r="L74" i="7"/>
  <c r="L181" i="7"/>
  <c r="L376" i="7"/>
  <c r="L237" i="7"/>
  <c r="L219" i="7"/>
  <c r="L345" i="7"/>
  <c r="L384" i="7"/>
  <c r="L210" i="7"/>
  <c r="L437" i="7"/>
  <c r="L226" i="7"/>
  <c r="L355" i="7"/>
  <c r="L229" i="7"/>
  <c r="L57" i="7"/>
  <c r="L112" i="7"/>
  <c r="L202" i="7"/>
  <c r="L272" i="7"/>
  <c r="L362" i="7"/>
  <c r="L136" i="7"/>
  <c r="L336" i="7"/>
  <c r="L8" i="7"/>
  <c r="L91" i="7"/>
  <c r="L106" i="7"/>
  <c r="L150" i="7"/>
  <c r="L310" i="7"/>
  <c r="L215" i="7"/>
  <c r="L340" i="7"/>
  <c r="L41" i="7"/>
  <c r="L86" i="7"/>
  <c r="L127" i="7"/>
  <c r="L100" i="7"/>
  <c r="L147" i="7"/>
  <c r="L259" i="7"/>
  <c r="L36" i="7"/>
  <c r="L277" i="7"/>
  <c r="L21" i="7"/>
  <c r="L52" i="7"/>
  <c r="L154" i="7"/>
  <c r="L352" i="7"/>
  <c r="L132" i="7"/>
  <c r="L332" i="7"/>
  <c r="L430" i="7"/>
  <c r="L241" i="7"/>
  <c r="L17" i="7"/>
  <c r="L165" i="7"/>
  <c r="L144" i="7"/>
  <c r="L327" i="7"/>
  <c r="L245" i="7"/>
  <c r="L222" i="7"/>
  <c r="L15" i="7"/>
  <c r="L65" i="7"/>
  <c r="L185" i="7"/>
  <c r="L249" i="7"/>
  <c r="L391" i="7"/>
  <c r="L53" i="7"/>
  <c r="L69" i="7"/>
  <c r="L166" i="7"/>
  <c r="L113" i="7"/>
  <c r="L186" i="7"/>
  <c r="L60" i="7"/>
  <c r="L101" i="7"/>
  <c r="L22" i="7"/>
  <c r="L48" i="7"/>
  <c r="L42" i="7"/>
  <c r="L87" i="7"/>
  <c r="L9" i="7"/>
  <c r="L117" i="7"/>
  <c r="L80" i="7"/>
  <c r="L96" i="7"/>
  <c r="L151" i="7"/>
  <c r="L32" i="7"/>
  <c r="L280" i="7"/>
  <c r="L286" i="7"/>
  <c r="J483" i="7"/>
  <c r="I352" i="4"/>
  <c r="J488" i="7" l="1"/>
  <c r="I407" i="4" s="1"/>
  <c r="J487" i="7"/>
  <c r="I488" i="7"/>
  <c r="H407" i="4" s="1"/>
  <c r="K483" i="7"/>
</calcChain>
</file>

<file path=xl/sharedStrings.xml><?xml version="1.0" encoding="utf-8"?>
<sst xmlns="http://schemas.openxmlformats.org/spreadsheetml/2006/main" count="2505" uniqueCount="922">
  <si>
    <t>النفقات</t>
  </si>
  <si>
    <t>رخص قواعد البيانات</t>
  </si>
  <si>
    <t>تطوير التقنيات المختلفة (خوادم، برمجيات ...)</t>
  </si>
  <si>
    <t>تطوير أجهزة وبرمجيات أنظمة الحماية وملحقاته</t>
  </si>
  <si>
    <t>التجهيزات المكتبية والأثاث</t>
  </si>
  <si>
    <t>تجهيز أرفف معدنية للمكتبة الهاشمية</t>
  </si>
  <si>
    <t>أجهزة وتجهيزات ونفقات تشغيل محطة إذاعة الجامعة</t>
  </si>
  <si>
    <t>أجهزة وتجهيزات خاصة بسكنات الطلبة</t>
  </si>
  <si>
    <t>مواد أولية</t>
  </si>
  <si>
    <t>آليات ومركبات مختلفة</t>
  </si>
  <si>
    <t>مبنى كلية الهندسة</t>
  </si>
  <si>
    <t>مبنى كلية إدارة المال والأعمال</t>
  </si>
  <si>
    <t>حفر بئر داخل الحرم الجامعي</t>
  </si>
  <si>
    <t>مشروع تطوير الملاعب الرياضية</t>
  </si>
  <si>
    <t>المشاريع الزراعية وخطوط المياه</t>
  </si>
  <si>
    <t>رواتب وعلاوات الهيئة التدريسية</t>
  </si>
  <si>
    <t>مكافآت هيئة التدريس للعمل الصيفي والاضافي</t>
  </si>
  <si>
    <t>مكافآت اساتذة دائمين ومؤقتين ومنتدبين</t>
  </si>
  <si>
    <t>بدل سكن لاعضاء هيئة التدريس</t>
  </si>
  <si>
    <t>مخصصات الشواغر والاحداثات لاعضاء الهيئة التدريسية</t>
  </si>
  <si>
    <t>مكافات هيئة التدريس / البرنامج الدولي</t>
  </si>
  <si>
    <t>مجموع (  الفصـــل  ) =</t>
  </si>
  <si>
    <t>رواتب الهيئة الادارية</t>
  </si>
  <si>
    <t>المكافآت والعمل الاضافي للهيئة الادارية</t>
  </si>
  <si>
    <t>مكافآت الاداريين المنتدبين</t>
  </si>
  <si>
    <t>مخصصات الشواغر والاحداثات لاعضاء الهيئة الادارية</t>
  </si>
  <si>
    <t>حوافز برنامج الموازي للهيئة التدريسية</t>
  </si>
  <si>
    <t>حوافز برنامج الموازي للموظفين</t>
  </si>
  <si>
    <t>احتياطي حوافز موازي هيئة تدريس</t>
  </si>
  <si>
    <t>احتياطي حوافز موازي للموظفين</t>
  </si>
  <si>
    <t>خدمات الامن والحراسة</t>
  </si>
  <si>
    <t>بدل وجبات الطعام للعسكريين</t>
  </si>
  <si>
    <t>استئجار عمال بالاجرة اليومية</t>
  </si>
  <si>
    <t>مساهمة الجامعة في صندوق الادخار</t>
  </si>
  <si>
    <t>مساهمة الجامعة في الضمان الاجتماعي</t>
  </si>
  <si>
    <t>مساهمة الجامعة في التامين الصحي للعاملين</t>
  </si>
  <si>
    <t>مساهمة الجامعة في التامين على حياة العاملين</t>
  </si>
  <si>
    <t>مساهمة الجامعة في مكافأة نهاية الخدمة للعاملين</t>
  </si>
  <si>
    <t>مواد ولوازم شعبة المفاتيح</t>
  </si>
  <si>
    <t>ملابس المستخدمين</t>
  </si>
  <si>
    <t>ملابس فرق عمادة شؤون الطلبة</t>
  </si>
  <si>
    <t>ملابس العلاقات العامه</t>
  </si>
  <si>
    <t>قرطاسية ولوازم مكتبية</t>
  </si>
  <si>
    <t>جوائز ومكافئات تشجيعية</t>
  </si>
  <si>
    <t>نفقات التخريج</t>
  </si>
  <si>
    <t>دعم صندوق الطلبة</t>
  </si>
  <si>
    <t>التامين الصحي للطلبة</t>
  </si>
  <si>
    <t>التامين على حياة الطلبة</t>
  </si>
  <si>
    <t>الكتاب السنوي</t>
  </si>
  <si>
    <t>مجلة الشورى</t>
  </si>
  <si>
    <t>مساهمة الجامعة في موازنة مجلس الطلبة</t>
  </si>
  <si>
    <t>بدلات الاعتماد العام والخاص</t>
  </si>
  <si>
    <t>مياه</t>
  </si>
  <si>
    <t>كهرباء</t>
  </si>
  <si>
    <t>محروقات</t>
  </si>
  <si>
    <t>غاز</t>
  </si>
  <si>
    <t>نفايات</t>
  </si>
  <si>
    <t>بريد</t>
  </si>
  <si>
    <t>هاتف</t>
  </si>
  <si>
    <t>تأمين موجودات الجامعة</t>
  </si>
  <si>
    <t>تأمينات اخرى متفرقة</t>
  </si>
  <si>
    <t>نفقات الشحن والتخليص</t>
  </si>
  <si>
    <t>نفقات الوفود الرسميه والضيافه والحفلات والفنادق</t>
  </si>
  <si>
    <t>نفقات الضيافه للكليات والمعاهد والمراكز والدوائر</t>
  </si>
  <si>
    <t>نفقات ضيافة مجلس الامناء</t>
  </si>
  <si>
    <t>اعلانات</t>
  </si>
  <si>
    <t>رسوم اشتراك في خدمة الانترنت</t>
  </si>
  <si>
    <t>رسوم اشتراكات أخرى متفرقة ومتنوعة..</t>
  </si>
  <si>
    <t>رسوم اشتراك في شبكة الجامعات الاردنية</t>
  </si>
  <si>
    <t>لوازم ومشتريات ونفقات متنوعة</t>
  </si>
  <si>
    <t>مساهمه الجامعه في اتحاد الجامعات العربيه</t>
  </si>
  <si>
    <t>مساهمه الجامعه في اتحاد الجامعات للعالم الاسلامي</t>
  </si>
  <si>
    <t>مساهمة الجامعة في الاتحاد الرياضي للجامعات</t>
  </si>
  <si>
    <t>المساهمة في مقر الامانة لاتحاد الجامعات العربية</t>
  </si>
  <si>
    <t>مساهمه الجامعه في اتحاد رابطه الجامعات الاسلاميه</t>
  </si>
  <si>
    <t>المجلس العربي لتدريب طلاب الجامعات العربية</t>
  </si>
  <si>
    <t>مساهمات اخرى</t>
  </si>
  <si>
    <t>مساهمة الجامعة في مجلس التمريض الاردني</t>
  </si>
  <si>
    <t>المساهمة في دعم نادي العاملين في جامعة آل البيت</t>
  </si>
  <si>
    <t>المساهمة في منتدى الفكر العربي</t>
  </si>
  <si>
    <t>المساهمة في الجمعية العلمية لكليات التمريض العربية</t>
  </si>
  <si>
    <t>مساهمة الجامعة في المجلس الصحي العالي</t>
  </si>
  <si>
    <t>برنامج عدالة للمعلومات القانونية</t>
  </si>
  <si>
    <t>الجمعية الاردنية للبحث العلمي</t>
  </si>
  <si>
    <t>فوائد وعمولات مصرفية (مدينة)</t>
  </si>
  <si>
    <t>دعم البحوث العلمية</t>
  </si>
  <si>
    <t>دعم النشر</t>
  </si>
  <si>
    <t>دعم البحوث العلمية لطلبة الدراسات العليا</t>
  </si>
  <si>
    <t>رواتب اجازة التفرغ العلمي</t>
  </si>
  <si>
    <t>مناقشات الرسائل العلمية</t>
  </si>
  <si>
    <t>الدورات التدريبية</t>
  </si>
  <si>
    <t>منح طلبة الدراسات العليا</t>
  </si>
  <si>
    <t>نفقات السفر لحضور المؤتمرات العلمية والندوات</t>
  </si>
  <si>
    <t>مؤتمرات داخلية</t>
  </si>
  <si>
    <t>رسوم اشتراك في المؤتمرات والندوات</t>
  </si>
  <si>
    <t>مجلة البيان</t>
  </si>
  <si>
    <t>طباعة بحوث الموسم الثقافي</t>
  </si>
  <si>
    <t>مكافآت تقيم الابحاث للترقية</t>
  </si>
  <si>
    <t>المجلة الاردنية للدراسات الاسلامية</t>
  </si>
  <si>
    <t>مجلة الزهراء</t>
  </si>
  <si>
    <t>تجليد الكتب والدوريات</t>
  </si>
  <si>
    <t>نفقات الايفاد والبعثات العلمية</t>
  </si>
  <si>
    <t>التجهيزات المكتبية والاثاث</t>
  </si>
  <si>
    <t>رواتب وعلاوات أعضاء هيئة التدريس والمحاضرين المساعدين</t>
  </si>
  <si>
    <t>رواتب وعلاوات الهيئة الإدارية</t>
  </si>
  <si>
    <t>مجموع الفصل الأول: الرواتب والعلاوات والمكافآت</t>
  </si>
  <si>
    <t>مجموع الفصل الثاني: التعويضات والتأمينات للعاملين</t>
  </si>
  <si>
    <t>مواد ولوازم الصيانة العامة</t>
  </si>
  <si>
    <t xml:space="preserve">ملابس المستخدمين </t>
  </si>
  <si>
    <t>مجموع الفصل الثالث: اللوازم والمهمات والصيانة</t>
  </si>
  <si>
    <t>النشاطات الطلابية المختلفة ومستلزمات عمادة شؤون الطلبة</t>
  </si>
  <si>
    <t>دعم صناديق الطلبة</t>
  </si>
  <si>
    <t>التأمين الصحي للطلبة</t>
  </si>
  <si>
    <t>التأمين على حياة الطلبة</t>
  </si>
  <si>
    <t>المطبوعات والنشرات الطلابية</t>
  </si>
  <si>
    <t>مجموع الفصل الرابع: دعم الصناديق والخدمات والنشاطات الطلابية</t>
  </si>
  <si>
    <t>النفقات الاستهلاكية المشتركة</t>
  </si>
  <si>
    <t>تأمين موجودات الجامعة المنقولة وغير المنقولة</t>
  </si>
  <si>
    <t>نفقات الوفود الرسمية والضيافة</t>
  </si>
  <si>
    <t>نفقات الآليات والمركبات</t>
  </si>
  <si>
    <t>العقود والاشتراكات في شبكات المعلومات الدولية والمحلية</t>
  </si>
  <si>
    <t>اعلانات ومطبوعات والنشرات</t>
  </si>
  <si>
    <t>مجموع الفصل الخامس: النفقات العامة المشتركة</t>
  </si>
  <si>
    <t>مساهمةاتحادالجامعات العربية/جمعيةكليات الحاسبات والمعلومات</t>
  </si>
  <si>
    <t>مساهمة الجامعة في اتحاد الرابطة الدولية لرؤوساء الجامعات</t>
  </si>
  <si>
    <t>مساهمة الجامعة في هيئة اعتماد مؤسسات التعليم العالي</t>
  </si>
  <si>
    <t>المساهمة في مركز التميز للخدمات المكتبية الجامعية الرسمية</t>
  </si>
  <si>
    <t>مساهمة الجامعة في الاتحادات العربية والدولية</t>
  </si>
  <si>
    <t>مساهمة الجامعة في الروابط الجامعية العربية والدولية</t>
  </si>
  <si>
    <t>مساهمة الجامعة في النشاطات والخدمات الأخرى</t>
  </si>
  <si>
    <t>مجموع الفصل السادس: المساهمات</t>
  </si>
  <si>
    <t>الفوائد والعمولات المصرفية</t>
  </si>
  <si>
    <t>تسديد فوائد القروض</t>
  </si>
  <si>
    <t>تسديد فوائد قرض صندوق الادخار/جامعة ال البيت</t>
  </si>
  <si>
    <t>مجموع الباب الأول: النفقات المتكررة</t>
  </si>
  <si>
    <t>أجهزة وتجهيزات وحواسيب للتدريس والبحث العلمي</t>
  </si>
  <si>
    <t>مجموع الفصل السادس: أجهزة وتجهيزات وحواسيب للتدريس والبحث العلمي</t>
  </si>
  <si>
    <t>مجموع الباب الثاني: نفقات البحث العلمي</t>
  </si>
  <si>
    <t>نفقات البحث والتدريس (مواد بحثية وتعليمية، زجاجيات، كيماويات)</t>
  </si>
  <si>
    <t>نفقات البعثات العلمية</t>
  </si>
  <si>
    <t>مجموع الفصل الثاني: التجهيزات المكتبية والأثاث</t>
  </si>
  <si>
    <t>مشاريع مشروطة بالتمويل</t>
  </si>
  <si>
    <t>مجموع الباب الرابع: النفقات الرأسمالية</t>
  </si>
  <si>
    <t>رسوم الساعات المعتمدة/العادي</t>
  </si>
  <si>
    <t>خدمات جامعية/ العادي</t>
  </si>
  <si>
    <t>رسوم القبول/ العادي</t>
  </si>
  <si>
    <t>رسوم اخرى ومتنوعة / العادي</t>
  </si>
  <si>
    <t>رسوم الساعات المعتمدة/ المسائي</t>
  </si>
  <si>
    <t>خدمات جامعية/ المسائي</t>
  </si>
  <si>
    <t>رسوم اخرى ومتنوعة / المسائي</t>
  </si>
  <si>
    <t>رسوم الساعات المعتمدة/ الموازي</t>
  </si>
  <si>
    <t>خدمات جامعية/ الموازي</t>
  </si>
  <si>
    <t>رسوم القبول/ الموازي</t>
  </si>
  <si>
    <t>رسوم اخرى ومتنوعة / الموازي</t>
  </si>
  <si>
    <t>رسوم الساعات المعتمدة / ماجستير دولي</t>
  </si>
  <si>
    <t>خدمات جامعية / ماجستير دولي</t>
  </si>
  <si>
    <t>رسوم استخدام مصادر تعليمية / ماجستير دولي</t>
  </si>
  <si>
    <t>رسوم القبول / ماجستير دولي</t>
  </si>
  <si>
    <t>رسوم طلب الالتحاق / ماجستير دولي</t>
  </si>
  <si>
    <t>رسوم اخرى ومتنوعة / ماجستير دولي</t>
  </si>
  <si>
    <t>رسوم الساعات المعتمدة / ماجستير عادي</t>
  </si>
  <si>
    <t>خدمات جامعية / ماجستير عادي</t>
  </si>
  <si>
    <t>رسوم استخدام مصادر تعليمية / ماجستير عادي</t>
  </si>
  <si>
    <t>رسوم القبول / ماجستير عادي</t>
  </si>
  <si>
    <t>رسوم طلب الالتحاق / ماجستير عادي</t>
  </si>
  <si>
    <t>رسوم اخرى متنوعة / ماجستير عادي</t>
  </si>
  <si>
    <t>رسوم الساعات المعتمدة / دكتوراه دولي</t>
  </si>
  <si>
    <t>خدمات جامعية / دكتوراه دولي</t>
  </si>
  <si>
    <t>رسوم استخدام مصادر تعليمية/ دكتوراه دولي</t>
  </si>
  <si>
    <t>رسوم الساعات المعتمدة / دكتوراه عادي</t>
  </si>
  <si>
    <t>خدمات جامعية / دكتوراه عادي</t>
  </si>
  <si>
    <t>رسوم استخدام مصادر تعليمية / دكتوراه عادي</t>
  </si>
  <si>
    <t>رسوم القبول / دكتوراه عادي</t>
  </si>
  <si>
    <t>رسوم طلب الالتحاق / دكتوراه عادي</t>
  </si>
  <si>
    <t>رسوم اخرى ومتنوعة / دكتوراه عادي</t>
  </si>
  <si>
    <t>رسوم الساعات المعتمدة / دبلوم عالي</t>
  </si>
  <si>
    <t>خدمات جامعية / دبلوم عالي</t>
  </si>
  <si>
    <t>رسوم القبول / دبلوم عالي</t>
  </si>
  <si>
    <t>رسوم طلب الالتحاق / دبلوم عالي</t>
  </si>
  <si>
    <t>رسوم اخرى ومتنوعة / دبلوم عالي</t>
  </si>
  <si>
    <t>فوائد بنكية دائنة</t>
  </si>
  <si>
    <t>ايرادات سكن الطالبات</t>
  </si>
  <si>
    <t>ايرادات سكن العاملين</t>
  </si>
  <si>
    <t>ايرادات سكن السقاية والرفادة</t>
  </si>
  <si>
    <t>ايرادات الوحدات السكنية</t>
  </si>
  <si>
    <t>بدل ايجار مواقع خدمات التصوير والنسخ</t>
  </si>
  <si>
    <t>بدل ايجار مباني ومواقع أخرى ..</t>
  </si>
  <si>
    <t>ايراد بدل ايجار السوق التجاري</t>
  </si>
  <si>
    <t>بدل ايجار مبنى الصيدلية</t>
  </si>
  <si>
    <t>بدل تاجير مواقع بيع الكتب والمقررات الدراسية</t>
  </si>
  <si>
    <t>ايرادات شعبة النقل</t>
  </si>
  <si>
    <t>ايرادات اثمان نسخ عطاءات</t>
  </si>
  <si>
    <t>ايرادات واشتراك اصدارات الجامعة</t>
  </si>
  <si>
    <t>ايرادات اخرى متنوعه</t>
  </si>
  <si>
    <t>ايرادات الهاتف</t>
  </si>
  <si>
    <t>ايرادات عمادة شؤون الطلبة</t>
  </si>
  <si>
    <t>ايرادات سنوات سابقة</t>
  </si>
  <si>
    <t>ايرادات مبيعات منتجات الجامعة</t>
  </si>
  <si>
    <t>ايرادات الروب الجامعي</t>
  </si>
  <si>
    <t>ايرادات بدل غرامات مختلفة ومتنوعة</t>
  </si>
  <si>
    <t>ايرادات تحليل عينات /المختبرات المركزية</t>
  </si>
  <si>
    <t>ايرادات المشاغل</t>
  </si>
  <si>
    <t>ايرادات الكهرباء</t>
  </si>
  <si>
    <t>ايرادات الماء</t>
  </si>
  <si>
    <t>ايرادات مركز اللغات</t>
  </si>
  <si>
    <t>وحدة الدراسات العمانية</t>
  </si>
  <si>
    <t>التبرعات والمنح والهبات</t>
  </si>
  <si>
    <t>تسهيلات بنكية/جاري مدين</t>
  </si>
  <si>
    <t>العجز</t>
  </si>
  <si>
    <t>الرسوم الجامعية / النظام العادي</t>
  </si>
  <si>
    <t>الرسوم الجامعية / النظام المسائي</t>
  </si>
  <si>
    <t>الرسوم الجامعية / النظام الموازي</t>
  </si>
  <si>
    <t>الرسوم الجامعية / ماجستير دولي</t>
  </si>
  <si>
    <t>الرسوم الجامعية / ماجستير عادي</t>
  </si>
  <si>
    <t>الرسوم الجامعية / دكتوراة دولي</t>
  </si>
  <si>
    <t>الرسوم الجامعية / دكتوراة عادي</t>
  </si>
  <si>
    <t>الرسوم الجامعية / دبلوم عالي</t>
  </si>
  <si>
    <t>مجموع الفصل الأول: الرسوم الجامعية</t>
  </si>
  <si>
    <t>ايرادات بدل سكن المنازل الجامعية</t>
  </si>
  <si>
    <t>بدل ايجار مباني ومرافق الجامعة</t>
  </si>
  <si>
    <t>الإيرادات المتنوعة</t>
  </si>
  <si>
    <t>ايرادات مركز الاستشارات والخدمات الفنية وتنمية المجتمع</t>
  </si>
  <si>
    <t>إيرادات مركز اللغات</t>
  </si>
  <si>
    <t>الدعم الحكومي</t>
  </si>
  <si>
    <t>مجموع الفصل الأول: الدعم الحكومي</t>
  </si>
  <si>
    <t>مجموع الفصل الأول: التبرعات والمنح والهبات</t>
  </si>
  <si>
    <t>رسوم جامعية مستحقة</t>
  </si>
  <si>
    <t>ايرادات مركز الاستشارات والخدمات الفنية وتنمية</t>
  </si>
  <si>
    <t>رسوم القبول / دكتوراه دولي</t>
  </si>
  <si>
    <t>رسوم طلب الالتحاق / دكتوراه دولي</t>
  </si>
  <si>
    <t>رسوم اخرى ومتنوعة / دكتوراه دولي</t>
  </si>
  <si>
    <t>إيراد بدل ايجار مواقع مستحقة عن سنوات سابقة</t>
  </si>
  <si>
    <t>صيانة موقع الحوسبة الرئيسي وملحقاته</t>
  </si>
  <si>
    <t>صيانة الشبكة الحاسوبية</t>
  </si>
  <si>
    <t>صيانة الأجهزة الحاسوبية وملحقاتها</t>
  </si>
  <si>
    <t>مواد ولوازم صيانة طفايات الحريق</t>
  </si>
  <si>
    <t>أحبار</t>
  </si>
  <si>
    <t xml:space="preserve">مجلة المنارة </t>
  </si>
  <si>
    <t>رخص الانظمة الرئيسية وأمن المعلومات</t>
  </si>
  <si>
    <t>أجهزة وتجهيزات خاصة بجهات الجامعة المختلفة</t>
  </si>
  <si>
    <t>أجهزة حاسوب وطابعات وملحقاتها</t>
  </si>
  <si>
    <t xml:space="preserve">آليات زراعية  </t>
  </si>
  <si>
    <t xml:space="preserve">أرواب التخريج </t>
  </si>
  <si>
    <t>النشاطات والرحلات والندوات الطلابية وورش العمل والتدريب</t>
  </si>
  <si>
    <t xml:space="preserve">رخص متنوعة </t>
  </si>
  <si>
    <t>الأبنية</t>
  </si>
  <si>
    <t>الفصل الأول: الرواتب والعلاوات والمكافآت</t>
  </si>
  <si>
    <t>الفصل الثاني: التعويضات والتأمينات للعاملين</t>
  </si>
  <si>
    <t>الفصل الثالث: اللوازم والمهمات والصيانة</t>
  </si>
  <si>
    <t>الفصل الرابع: دعم الصناديق والخدمات والنشاطات الطلابية</t>
  </si>
  <si>
    <t>الفصل الخامس: النفقات العامة المشتركة</t>
  </si>
  <si>
    <t>الفصل السادس: المساهمات</t>
  </si>
  <si>
    <t>الباب الأول: النفقات المتكررة</t>
  </si>
  <si>
    <t>الفصل السادس: أجهزة وتجهيزات وحواسيب للتدريس والبحث العلمي</t>
  </si>
  <si>
    <t>الباب الثالث: نفقات البعثات العلمية والدورات التدريبية</t>
  </si>
  <si>
    <t>الباب الرابع: النفقات الرأسمالية</t>
  </si>
  <si>
    <t>مجموع الفصل الأول: رخص متنوعة وتطوير التقنيات المختلفة</t>
  </si>
  <si>
    <t>الفصل الأول: رخص متنوعة وتطوير التقنيات المختلفة</t>
  </si>
  <si>
    <t>مجموع الفصل الرابع: الأبنية والمشاريع الإنمائية</t>
  </si>
  <si>
    <t>الفصل الرابع: الأبنية والمشاريع الإنمائية</t>
  </si>
  <si>
    <t>مجموع الفصل السادس: نفقات الالتزامات الرأسمالية المدورة</t>
  </si>
  <si>
    <t>الفصل السادس: نفقات الالتزامات الرأسمالية المدورة</t>
  </si>
  <si>
    <t>نفقات التزامات رأسمالية مدورة</t>
  </si>
  <si>
    <t>الإيرادات</t>
  </si>
  <si>
    <t>مخصصات حوافز واحتياطي الموازي</t>
  </si>
  <si>
    <t>صيانة المختبرات العلمية وديمومة الأجهزة والبنية الحاسوبية</t>
  </si>
  <si>
    <t>اسمدة ومبيدات ولوازم زراعية</t>
  </si>
  <si>
    <t>مواد ولوازم النظافة العامة والوقاية الصحية</t>
  </si>
  <si>
    <t>قرطاسية وأحبار ولوازم مكتبية</t>
  </si>
  <si>
    <t>لوازم عامة</t>
  </si>
  <si>
    <t>أعلام ومستلزماتها</t>
  </si>
  <si>
    <t>مساهمة الجامعة في تطوير مكتب الإرشاد الوظيفي ومتابعة الخريجين</t>
  </si>
  <si>
    <t>جمعية كليات العلوم بالجامعات الأعضاء في اتحاد الجامعات العربية</t>
  </si>
  <si>
    <t xml:space="preserve">الباب الثاني: نفقات البحث العلمي </t>
  </si>
  <si>
    <t>الفصل الرابع: المجلات والمطبوعات العلمية والثقافية</t>
  </si>
  <si>
    <t>دعم بحوث ومنح طلبة الدراسات العليا</t>
  </si>
  <si>
    <t>مجموع الفصل الثاني: دعم بحوث ومنح طلبة الدراسات العليا</t>
  </si>
  <si>
    <t xml:space="preserve">الفصل الثالث: دعم المشاركة في المؤتمرات والندوات العلمية </t>
  </si>
  <si>
    <t>الفصل الثاني: دعم بحوث ومنح طلبة الدراسات العليا</t>
  </si>
  <si>
    <t>دعم البحث العلمي ودعم النشر ومكافآت تقييم الأبحات</t>
  </si>
  <si>
    <t xml:space="preserve">دعم المشاركة في المؤتمرات والندوات العلمية </t>
  </si>
  <si>
    <t xml:space="preserve">مجموع الفصل الثالث: دعم المشاركة في المؤتمرات والندوات العلمية </t>
  </si>
  <si>
    <t>المجلات والمطبوعات العلمية والثقافية</t>
  </si>
  <si>
    <t>مجموع الفصل الرابع: المجلات والمطبوعات العلمية والثقافية</t>
  </si>
  <si>
    <t>الفصل الخامس: نفقات التزامات البحث العلمي المدورة من سنوات سابقة</t>
  </si>
  <si>
    <t>نفقات التزامات البحث العلمي المدورة من سنوات سابقة</t>
  </si>
  <si>
    <t>مجموع الفصل الخامس: نفقات التزامات البحث العلمي المدورة من سنوات سابقة</t>
  </si>
  <si>
    <t>الفصل السابع: نفقات التزامات النفقات المتكررة المدورة من سنوات سابقة</t>
  </si>
  <si>
    <t>نفقات التزامات النفقات المتكررة المدورة من سنوات سابقة</t>
  </si>
  <si>
    <t>مجموع الفصل السابع: نفقات التزامات النفقات المتكررة المدورة من سنوات سابقة</t>
  </si>
  <si>
    <t>الفصل الأول: نفقات البعثات العلمية والدورات التدريبية</t>
  </si>
  <si>
    <t>مجموع الفصل الأول: نفقات البعثات العلمية والدورات التدريبية</t>
  </si>
  <si>
    <t>مجموع الباب الثالث: نفقات البعثات العلمية والدورات التدريبية</t>
  </si>
  <si>
    <t>تجهيزات وأدوات رياضية خاصة بتخصص التربية البدنية</t>
  </si>
  <si>
    <t>أجهزة وتجهيزات خاصة بسكن الطالبات</t>
  </si>
  <si>
    <t>اجهزة ومعدات خاصة بدائرة الهندسة والصيانة</t>
  </si>
  <si>
    <t>أجهزة ومعدات خاصة بدائرة الإنتاج والتصنيع</t>
  </si>
  <si>
    <t xml:space="preserve">الفصل الثالث: الآليات والأجهزة والمعدات </t>
  </si>
  <si>
    <t>أجهزة ومعدات للنظافة العامة والوقاية الصحية والسلامة العامة</t>
  </si>
  <si>
    <t xml:space="preserve">أجهزة ومعدات خاصة </t>
  </si>
  <si>
    <t xml:space="preserve">مجموع الفصل الثالث: الآليات والأجهزة والمعدات </t>
  </si>
  <si>
    <t>مواد ولوازم زراعية وتجميل الحرم الجامعي وصيانة شبكات وقطع غيار زراعية</t>
  </si>
  <si>
    <t>محروقات وزيوت للآليات والمركبات</t>
  </si>
  <si>
    <t>أجهزة وتجهيزات خاصة بقاعة استقبال وسكن الطبة الوافدين</t>
  </si>
  <si>
    <t>مواد أولية حاجة دائرة الهندسة والصيانة</t>
  </si>
  <si>
    <t>مواد أولية حاجة دائرة الإنتاج والتصنيع</t>
  </si>
  <si>
    <t>أجهزة ومعدات للمطبعة</t>
  </si>
  <si>
    <t>رسوم جامعية مستحقة (بكالوريوس عادي)</t>
  </si>
  <si>
    <t xml:space="preserve">رسوم جامعية مستحقة (البرامج الأخرى) </t>
  </si>
  <si>
    <t>رسوم طلبات الالتحاق/ العادي</t>
  </si>
  <si>
    <t>رسوم طلبات الالتحاق/ الموازي</t>
  </si>
  <si>
    <t>ايرادات سكن الطلاب</t>
  </si>
  <si>
    <t>الدعم الحكومي من الرسوم الجمركية والاضافية</t>
  </si>
  <si>
    <t>مساهمة وزارة التعليم العالي في المجلات العلمية</t>
  </si>
  <si>
    <t>توسعة وتطوير البنية التحتية وتأهيل أبنية قائمة</t>
  </si>
  <si>
    <t>أجهزة ومعدات وأنظمة الأمن والرقابة والحماية والإنذار</t>
  </si>
  <si>
    <t>إيراد بدل إيجار المطاعم</t>
  </si>
  <si>
    <t>إيراد بدل إيجار الكافتيريات</t>
  </si>
  <si>
    <t>إيراد بدل إيجار الأكشاك</t>
  </si>
  <si>
    <t>إيراد بدل إيجار أبراج الاتصالات</t>
  </si>
  <si>
    <t>إيرادات بدل ايجار مواقع مستحقة عن سنوات سابقة</t>
  </si>
  <si>
    <t>أجهزة وتجهيزات مشروطة بالتمويل</t>
  </si>
  <si>
    <t>أجهزة حاسوب وملحقاتها/ مشروطة بالتمويل</t>
  </si>
  <si>
    <t>أجهزة وتجهيزات خاصة بالمختبرات/ مشروطة بالتمويل</t>
  </si>
  <si>
    <t>أجهزة وتجهيزات متنوعة/ مشروطة بالتمويل</t>
  </si>
  <si>
    <t>تطوير وتأهيل البنية التحتية للشبكات المختلفة/ مشروطة بالتمويل</t>
  </si>
  <si>
    <t>اسم الجهة</t>
  </si>
  <si>
    <t>رمز الجهة</t>
  </si>
  <si>
    <t>رقم الحساب</t>
  </si>
  <si>
    <t>اسم الحساب</t>
  </si>
  <si>
    <t>دائرة مكتب الرئيس</t>
  </si>
  <si>
    <t>رواتب الهيئة الإدارية</t>
  </si>
  <si>
    <t>نفقات ضيافة مجلس الأمناء</t>
  </si>
  <si>
    <t>مجموع النفقات المتكررة للجهة</t>
  </si>
  <si>
    <t>المجموع الكلي لموازنة الجهة</t>
  </si>
  <si>
    <t>مجموع نفقات البحث العلمي للجهة</t>
  </si>
  <si>
    <t>مجموع النفقات الرأسمالية للجهة</t>
  </si>
  <si>
    <t>دائرة الشؤون الادارية</t>
  </si>
  <si>
    <t>دائرة امانة سر المجالس</t>
  </si>
  <si>
    <t>دائرة الشؤون القانونية</t>
  </si>
  <si>
    <t>كلية الشريعة</t>
  </si>
  <si>
    <t>كلية الآداب والعلوم الإنسانية</t>
  </si>
  <si>
    <t>كلية الامير الحسين بن عبدالله لتكنولوجيا المعلومات</t>
  </si>
  <si>
    <t>كلية الاميرة سلمى بنت عبدالله للتمريض</t>
  </si>
  <si>
    <t xml:space="preserve"> كلية العلوم التربوية</t>
  </si>
  <si>
    <t>كلية العلوم</t>
  </si>
  <si>
    <t>كلية القانون</t>
  </si>
  <si>
    <t>معهد بيت الحكمة</t>
  </si>
  <si>
    <t>كلية الهندسة</t>
  </si>
  <si>
    <t>وحدة الدراسات العُمانية</t>
  </si>
  <si>
    <t>عمادة الدراسات العليا</t>
  </si>
  <si>
    <t>عمادة البحث العلمي</t>
  </si>
  <si>
    <t>المجلة الأردنية للدراسات الإسلامية</t>
  </si>
  <si>
    <t>عمادة شؤون الطلبة</t>
  </si>
  <si>
    <t>جوائز ومكافآت تشجيعية</t>
  </si>
  <si>
    <t>مركز الحاسوب</t>
  </si>
  <si>
    <t>رسوم اشتراك في خدمة الإنترنت</t>
  </si>
  <si>
    <t>رخص الانظمة الرئيسية وملحقاتها</t>
  </si>
  <si>
    <t>مركز اللغات</t>
  </si>
  <si>
    <t>مركز تطوير اداء اعضاء هيئة التدريس</t>
  </si>
  <si>
    <t>المركز الثقافي الاسلامي</t>
  </si>
  <si>
    <t>مركز بحوث الطاقة</t>
  </si>
  <si>
    <t>مركز التميز والابداع</t>
  </si>
  <si>
    <t>الدائرة المالية</t>
  </si>
  <si>
    <t>مجموع نفقات البعثات العلمية للجهة</t>
  </si>
  <si>
    <t>دائرة اللوازم والمشتريات</t>
  </si>
  <si>
    <t>دائرة القبول والتسجيل</t>
  </si>
  <si>
    <t>المكتبة الهاشمية</t>
  </si>
  <si>
    <t>الخدمات العامة ودوائرها المختلفة</t>
  </si>
  <si>
    <t>محروقات وزيوت للمركبات والآليات</t>
  </si>
  <si>
    <t>المتحف</t>
  </si>
  <si>
    <t>دائرة الرقابة والتفتيش</t>
  </si>
  <si>
    <t>دائرة الامن الجامعي والسلامة العامة</t>
  </si>
  <si>
    <t>خدمات الأمن والحراسة</t>
  </si>
  <si>
    <t>دائرة صندوق الاستثمار</t>
  </si>
  <si>
    <t>ملحقات الرواتب</t>
  </si>
  <si>
    <t>مكافآت هيئة التدريس للعمل الصيفي والإضافي</t>
  </si>
  <si>
    <t>بدل سكن لأعضاء هيئة التدريس</t>
  </si>
  <si>
    <t>مكافآت هيئة التدريس / البرنامج الدولي</t>
  </si>
  <si>
    <t>المكافآت والعمل الإضافي للهيئة الإدارية</t>
  </si>
  <si>
    <t>مكافآت الإداريين المنتدبين</t>
  </si>
  <si>
    <t>مخصصات الشواغر والإحداثات</t>
  </si>
  <si>
    <t>مخصصات الشواغر والإحداثات لأعضاء الهيئة التدريسية</t>
  </si>
  <si>
    <t>التعويضات والتامينات</t>
  </si>
  <si>
    <t>مساهمة الجامعة في صندوق الإدخار</t>
  </si>
  <si>
    <t>مساهمة الجامعة في الضمان الإجتماعي</t>
  </si>
  <si>
    <t>النفقات العامة المشتركة</t>
  </si>
  <si>
    <t>رسوم اشتراكات أخرى متفرقة ومتنوعة</t>
  </si>
  <si>
    <t>المساهمات في الاتحادات الجامعية والدولية</t>
  </si>
  <si>
    <t>مساهمه الجامعه في اتحاد الجامعات للعالم الإسلامي</t>
  </si>
  <si>
    <t>مساهمة اتحاد الجامعات العربية/جمعية كليات الحاسبات والمعلومات</t>
  </si>
  <si>
    <t>المساهمة في مقر الأمانة لإتحاد الجامعات العربية</t>
  </si>
  <si>
    <t>مساهمه الجامعه في اتحاد رابطه الجامعات الإسلاميه</t>
  </si>
  <si>
    <t>تسديد فوائد قرض صندوق الادخار/جامعة آل البيت</t>
  </si>
  <si>
    <t>الموازنة المشروطة بالتمويل</t>
  </si>
  <si>
    <t>رخص برمجيات مايكروسوفت</t>
  </si>
  <si>
    <t>مركز بحوث المياه والمناطق الجافة</t>
  </si>
  <si>
    <t>أجهزة ومعدات حاجة دائرة الإنتاج والتصنيع</t>
  </si>
  <si>
    <t>دائرة ضمان الجودة والتخطيط</t>
  </si>
  <si>
    <t>مركز الاستشارات والخدمات الفنية</t>
  </si>
  <si>
    <t>مجموع الفصل الخامس: الأشغال والمرافق العامة</t>
  </si>
  <si>
    <t xml:space="preserve">الفصل الخامس: الأشغال والمرافق العامة </t>
  </si>
  <si>
    <t>الفصل الأول: الرسوم الجامعية</t>
  </si>
  <si>
    <t>الفصل الأول: الدعم الحكومي</t>
  </si>
  <si>
    <t>الفصل الأول: التبرعات والمنح والهبات</t>
  </si>
  <si>
    <t>نفقات السفر لحضورمؤتمرات علمية وندوات</t>
  </si>
  <si>
    <t>رمز الفصل الفرعي</t>
  </si>
  <si>
    <t>أجور ومكافآت واستئجار خدمات</t>
  </si>
  <si>
    <t>معهد الدراسات الإسلامية</t>
  </si>
  <si>
    <t>رقم الباب</t>
  </si>
  <si>
    <t>اسم الباب</t>
  </si>
  <si>
    <t xml:space="preserve">الباب الأول </t>
  </si>
  <si>
    <t>النفقات المتكررة</t>
  </si>
  <si>
    <t>الباب الثاني</t>
  </si>
  <si>
    <t>نفقات البحث العلمي</t>
  </si>
  <si>
    <t>الباب الثالث</t>
  </si>
  <si>
    <t>الباب الرابع</t>
  </si>
  <si>
    <t>النفقات الرأسمالية</t>
  </si>
  <si>
    <t>الفصل الثاني: التجهيزات المكتبية والأثاث</t>
  </si>
  <si>
    <t>التزامات نفقات متكررة مدورة / حجوزات  من سنوات سابقة</t>
  </si>
  <si>
    <t>التزامات نفقات بحث علمي مدورة / حجوزات من سنوات سابقة</t>
  </si>
  <si>
    <t>التزامات نفقات رأسمالية مدورة / حجوزات من سنوات سابقة</t>
  </si>
  <si>
    <t>التزامات نفقات متكررة مدورة / حجوزات من سنوات سابقة</t>
  </si>
  <si>
    <t>صيانة أجهزة المختبرات العلمية</t>
  </si>
  <si>
    <t>الإشراف على الرسائل العلمية</t>
  </si>
  <si>
    <t>استئجار آليات ومعدات مختلفة</t>
  </si>
  <si>
    <t>إيرادات بدل اشتراكات التأمين الصحي للعاملين</t>
  </si>
  <si>
    <t>نفقات الإلتزامات المدورة من سنوات سابقة</t>
  </si>
  <si>
    <t>الفصول الفرعية المُدرجة تحت الفصل</t>
  </si>
  <si>
    <t>الباب/ الفصول المدرجة تحت الباب</t>
  </si>
  <si>
    <t>مشروع تجهيز الاستاد الرياضي (ملعب كرة القدم وألعاب القوى)</t>
  </si>
  <si>
    <t>تأهيل مسابح الجامعة/ المسبح الأولمبي</t>
  </si>
  <si>
    <t>مبنى مركز الحاسوب/ مشروطة بالتمويل</t>
  </si>
  <si>
    <t>مجمع القاعات التدريسية وقاعة المؤتمرات/ مشروطة بالتمويل</t>
  </si>
  <si>
    <t>جمنازيوم رياضي متعدد الأغراض (تربية بدنية)/ مشروطة بالتمويل</t>
  </si>
  <si>
    <t>أرباح مشروع الطاقة الشمسية</t>
  </si>
  <si>
    <t>كلية علوم الطيران</t>
  </si>
  <si>
    <t>أجهزة وتجهيزات خاصة بالقاعات التدريسية</t>
  </si>
  <si>
    <t>مركز احياء التراث الاسلامي</t>
  </si>
  <si>
    <t>آليات زراعية</t>
  </si>
  <si>
    <t>تأهيل مسابح الجامعة والمسبح الأولمبي/ مشروطة بالتمويل</t>
  </si>
  <si>
    <t>أجهزة وتجهيزات للمركز الصحي داخل الجامعة</t>
  </si>
  <si>
    <t xml:space="preserve">اسمدة ومبيدات ومستلزمات زراعية </t>
  </si>
  <si>
    <t>مساهمة الجامعة في تدريس طلاب الجامعة (نفقة الجامعة)</t>
  </si>
  <si>
    <t>إعداد المخططات الأولية</t>
  </si>
  <si>
    <t>PADILEIA - Partnership for Digital Learning &amp; Increased Access</t>
  </si>
  <si>
    <t>الكتب والدوريات الورقية والالكترونية</t>
  </si>
  <si>
    <t xml:space="preserve">مجموع الفصل السابع: الكتب والدوريات الورقية والالكترونية </t>
  </si>
  <si>
    <t>الفصل السابع: الكتب والدوريات الورقية والالكترونية</t>
  </si>
  <si>
    <t>صيانة وعقود صيانة أجهزة المختبرات العلمية</t>
  </si>
  <si>
    <t>مجلة المنارة (طباعة,تجليد,مكافأت)</t>
  </si>
  <si>
    <t xml:space="preserve">مركز دراسات العالم الاسلامي </t>
  </si>
  <si>
    <t>صحف ومجلات ومطبوعات</t>
  </si>
  <si>
    <t>اجهزه وتجهيزات وحواسيب وبرمجيات للتدريس والبحث العلمي (المختبرات)</t>
  </si>
  <si>
    <t>أجهزة وتجهيزات وأثاث مبنى كلية الهندسة الجديد</t>
  </si>
  <si>
    <t>أجهزة وتجهيزات وأثاث مبنى كلية التمريض الجديد</t>
  </si>
  <si>
    <t xml:space="preserve">صيانة وعقود صيانة أجهزة المختبرات العلمية  </t>
  </si>
  <si>
    <t>أجهزة وتجهيزات خاصة بأنشطة عمادة شؤون الطلبة وصالات الرياضة</t>
  </si>
  <si>
    <t>مواد تنظيف ومبيدات الوقاية الصحية وعقود النظافة العامة</t>
  </si>
  <si>
    <t>قطع غيار وإطارات وصيانة للآليات والمركبات</t>
  </si>
  <si>
    <t>مواد ولوازم وقطع غيار وصيانة الشبكات والآبار الارتوازية</t>
  </si>
  <si>
    <t>أجهزة ومعدات وماتورات خاصة بدائرة الزراعة</t>
  </si>
  <si>
    <t xml:space="preserve">خطوط مياه الري والشرب </t>
  </si>
  <si>
    <t>تطوير بركة الحصاد المائي (أجهزة ومعدات)</t>
  </si>
  <si>
    <t>تطوير محطة التنقية (أجهزة ومعدات)</t>
  </si>
  <si>
    <t>أشتال زراعية لتجميل الحرم الجامعي وحاجة مشتل نباتات الزينة</t>
  </si>
  <si>
    <t xml:space="preserve">مواد ولوازم وصيانة وعقود صيانة  المباني </t>
  </si>
  <si>
    <t xml:space="preserve">مواد ولوازم وقطع غيار وعقود صيانة التجهيزات والأجهزة والمعدات </t>
  </si>
  <si>
    <t>إعداد المخططات الأولية لمشاريع وأبنية مستقبلية وأجهزة للمرسم الهندسي</t>
  </si>
  <si>
    <t>تطوير وتوسعة البنية التحتية (طرق وأرصفة وساحات وأعمال مختلفة)</t>
  </si>
  <si>
    <t xml:space="preserve">كتب ودوريات وقواعد البيانات الورقية والالكترونية </t>
  </si>
  <si>
    <t>أجهزة وتجهيزات وأثاث مبنى ملحق كلية التمريض الجديد</t>
  </si>
  <si>
    <t>مشروع الشبكة اللاسلكية</t>
  </si>
  <si>
    <t>ايرادات الاذاعة</t>
  </si>
  <si>
    <t>مكافات رئيس واعضاء مجلس الامناء</t>
  </si>
  <si>
    <t>ضريبة الدخل</t>
  </si>
  <si>
    <t xml:space="preserve">الرخصة الراديوية السنوية للإذاعة </t>
  </si>
  <si>
    <t>المشاركة في المعارض التعليمية مع الجامعات الاردنية</t>
  </si>
  <si>
    <t>جمعية كليات الحقوق في الجامعات العربية</t>
  </si>
  <si>
    <t>صيانة وتشغيل نظام الطاقة الشمسية</t>
  </si>
  <si>
    <t>دراسات اقتصادية واجتماعية وانشطة متنوعة</t>
  </si>
  <si>
    <t>ايرادات غرامات المجلات العلمية</t>
  </si>
  <si>
    <t>كشف التشابه في الابحاث والرسائل والاطروحات العلمية</t>
  </si>
  <si>
    <t>نظام النسخ الاحتياطي</t>
  </si>
  <si>
    <t>شهادات وحافظات تخرج</t>
  </si>
  <si>
    <t xml:space="preserve">مشروع المراسلات والأرشفة الالكترونية </t>
  </si>
  <si>
    <t>ايرادات النشر في المجلات العلمية</t>
  </si>
  <si>
    <t>انشاء محطة تحلية وتعقيم  للمياه</t>
  </si>
  <si>
    <t>كلية الاقتصاد والعلوم الادارية</t>
  </si>
  <si>
    <t>دائرة الموارد البشرية</t>
  </si>
  <si>
    <t>مراقبة إعداد الرسائل العلمية</t>
  </si>
  <si>
    <t>بدل رواتب موظفي صندوق الاستثمار وملحقاتها (نهاية الخدمة، الإدخار)</t>
  </si>
  <si>
    <t xml:space="preserve">تطوير الموقع الالكتروني مركز الحاسوب /منحة تعليم عالي </t>
  </si>
  <si>
    <t>المساهمة في تدريس طلاب وزارة الصحة/ غير العادي</t>
  </si>
  <si>
    <t>المساهمة في تدريس طلاب الديوان الملكي/ العادي</t>
  </si>
  <si>
    <t>المساهمة في تدريس أبناء الشهداء والمصابين العسكريين/ العادي</t>
  </si>
  <si>
    <t>المساهمة في تدريس أبناء الشهداء والمصابين العسكريين/ غير العادي</t>
  </si>
  <si>
    <t>المساهمة في تدريس ذوي الاحتياجات الخاصة/ العادي</t>
  </si>
  <si>
    <t>المساهمة في تدريس ذوي الاحتياجات الخاصة/ غير العادي</t>
  </si>
  <si>
    <t>المساهمة في تدريس أبناء العاملين في الجامعات الحكومية/ العادي</t>
  </si>
  <si>
    <t>المساهمة في تدريس أبناء العاملين في الجامعات الحكومية/ غير العادي</t>
  </si>
  <si>
    <t>دائرة العلاقات  الدولية</t>
  </si>
  <si>
    <t>أجهزة وتجهيزات وتطوير للمقسم</t>
  </si>
  <si>
    <t>المجموع العام للعجز المقدر بالموازنة</t>
  </si>
  <si>
    <t xml:space="preserve">المجموع العام لموازنة النفقات الرأسمالية </t>
  </si>
  <si>
    <t xml:space="preserve">المجموع العام لموازنة نفقات البعثات العلمية </t>
  </si>
  <si>
    <t xml:space="preserve">المجموع العام لموازنة نفقات البحث العلمي </t>
  </si>
  <si>
    <t xml:space="preserve">المجموع العام لموازنة النفقات المتكررة </t>
  </si>
  <si>
    <t>خلاصة مشروع الموازنة حسب تصنيف النفقات وحسب الأساس المحاسبي</t>
  </si>
  <si>
    <t>مساهمة الجامعة في الرسوم الجامعية / جهات الإيفاد التي تتحمل نفقاتها الجامعة</t>
  </si>
  <si>
    <t>مشروع بناء كلية الهندسة/ مشروطة بالتمويل</t>
  </si>
  <si>
    <t>مشروع بناء ملحق كلية التمريض/ المرحلة الثانية/ مشروطة بالتمويل</t>
  </si>
  <si>
    <t>مشروع بناء كلية ادارة المال والاعمال/ مشروطة بالتمويل</t>
  </si>
  <si>
    <t>مشروع انشاء كلية طب/ مشروطة بالتمويل</t>
  </si>
  <si>
    <t>مشروع الشبكة اللاسلكية/ مشروطة بالتمويل</t>
  </si>
  <si>
    <t xml:space="preserve">مشروع المراسلات والأرشفة الالكترونية/ مشروطة بالتمويل </t>
  </si>
  <si>
    <t>موازنة التمويل</t>
  </si>
  <si>
    <t>المجموع العام للنفقات</t>
  </si>
  <si>
    <t>المصادر</t>
  </si>
  <si>
    <t>الاستخدامات</t>
  </si>
  <si>
    <t>مقدر</t>
  </si>
  <si>
    <t>مقدر بعد المناقلات</t>
  </si>
  <si>
    <t>فعلي</t>
  </si>
  <si>
    <t>محجوز</t>
  </si>
  <si>
    <t>المجموع العام للموازنة</t>
  </si>
  <si>
    <t>المجموع العام لموازنة التمويل</t>
  </si>
  <si>
    <t>نفقات الحسابات النظامية</t>
  </si>
  <si>
    <t>المجموع العام  للنفقات المشروطة بالتمويل</t>
  </si>
  <si>
    <t>موازنة الحسابات النظامية</t>
  </si>
  <si>
    <t>المساهمة في تدريس طلاب وزارة الصحة/ العادي</t>
  </si>
  <si>
    <t>المجموع العام للإيرادات قبل العجز</t>
  </si>
  <si>
    <t>تسديد قرض صندوق الادخار/جامعة آل البيت (المستحق)</t>
  </si>
  <si>
    <t>الباب الأول: المصادر (مصادر التمويل)</t>
  </si>
  <si>
    <t>مجموع الفصل الثاني: نفقات الرسوم الجامعية التي تتحملها الجامعة</t>
  </si>
  <si>
    <t>الباب الأول: الاستخدامات</t>
  </si>
  <si>
    <t>مجموع الفصل الثاني: إيرادات الرسوم الجامعية التي تتحملها الجامعة</t>
  </si>
  <si>
    <t>مجموع الفصل الأول: إيرادات مشاريع وأجهزة وتجهيزات مشروطة بالتمويل</t>
  </si>
  <si>
    <t>الفصل الأول: إيرادات مشاريع وأجهزة وتجهيزات مشروطة بالتمويل</t>
  </si>
  <si>
    <t>الفصل الأول: نفقات مشاريع وأجهزة وتجهيزات مشروطة بالتمويل</t>
  </si>
  <si>
    <t>مجموع الفصل الأول: نفقات مشاريع وأجهزة وتجهيزات مشروطة بالتمويل</t>
  </si>
  <si>
    <t>مجموع الفصل الثاني: إيرادات الرسوم الجامعية التي تتحملها الجامعة (إيرادات غير نقدية)</t>
  </si>
  <si>
    <t>الفصل الثاني: إيرادات الرسوم الجامعية التي تتحملها الجامعة (إيرادات غير نقدية)</t>
  </si>
  <si>
    <t>الفصل الثاني: نفقات الرسوم الجامعية التي تتحملها الجامعة (نفقات غير نقدية)</t>
  </si>
  <si>
    <t>مجموع الفصل الثاني: نفقات الرسوم الجامعية التي تتحملها الجامعة  (نفقات غير نقدية)</t>
  </si>
  <si>
    <t>الإيرادات الذاتية الأخرى</t>
  </si>
  <si>
    <t>الباب الأول: الرسوم الجامعية</t>
  </si>
  <si>
    <t>مجموع الباب الأول: الرسوم الجامعية</t>
  </si>
  <si>
    <t>الرسوم الجامعية</t>
  </si>
  <si>
    <t>الباب الثالث: الإيرادات الذاتية الأخرى</t>
  </si>
  <si>
    <t>مجموع الباب الثالث: الإيرادات الذاتية الأخرى</t>
  </si>
  <si>
    <t xml:space="preserve">الباب الثالث </t>
  </si>
  <si>
    <t>أولا</t>
  </si>
  <si>
    <t>ثانيا</t>
  </si>
  <si>
    <t>ثالثا</t>
  </si>
  <si>
    <t>نفقات مشاريع وأجهزة وتجهيزات مشروطة بالتمويل</t>
  </si>
  <si>
    <t>نفقات الرسوم الجامعية التي تتحملها الجامعة</t>
  </si>
  <si>
    <t>إيرادات مشاريع وأجهزة وتجهيزات مشروطة بالتمويل</t>
  </si>
  <si>
    <t>إيرادات الرسوم الجامعية التي تتحملها الجامعة</t>
  </si>
  <si>
    <t>إيرادات الحسابات النظامية</t>
  </si>
  <si>
    <t>الباب الأول: إيرادات الحسابات النظامية</t>
  </si>
  <si>
    <t>الباب الأول: نفقات الحسابات النظامية</t>
  </si>
  <si>
    <t>المجموع العام لموازنة الحسابات النظامية</t>
  </si>
  <si>
    <t>العجز المقدر بالموازنة</t>
  </si>
  <si>
    <t>التمويل المطلوب لتغطية التسهيلات البنكية وعجز الموازنة الحالي والمتراكم</t>
  </si>
  <si>
    <t>المجموع العام للنفقات غير النقدية (الرسوم الجامعية التي تتحملها الجامعة)</t>
  </si>
  <si>
    <t>تسديد ذمة عجز موازنة التمويل المتراكم</t>
  </si>
  <si>
    <t>تسديد عجز الموازنة الحالي وذمة عجز موازنة التمويل المتراكم والقروض المستحقة</t>
  </si>
  <si>
    <t>عجز موازنة التمويل</t>
  </si>
  <si>
    <t>المجموع العام لعجز موازنة التمويل</t>
  </si>
  <si>
    <t>تسديد سلفة وزارة المالية</t>
  </si>
  <si>
    <t>رابعا</t>
  </si>
  <si>
    <t>المجموع العام للموازنة المشروطة بالتمويل</t>
  </si>
  <si>
    <t>المجموع العام للموازنة غير النقدية</t>
  </si>
  <si>
    <t>قروض وتسهيلات بنكية وسلفة وزارة المالية وعجز موازنة التمويل</t>
  </si>
  <si>
    <t>مجموع تسديد عجز الموازنة الحالي وذمة عجز موازنة التمويل المتراكم والقروض المستحقة</t>
  </si>
  <si>
    <t>قرض  بنك القاهرة عمان/ سلفة البنك المركزي للجامعات الحكومية</t>
  </si>
  <si>
    <t>دائرة العلاقات العامة والإعلام</t>
  </si>
  <si>
    <t>مخصص 1/1 2020</t>
  </si>
  <si>
    <t>بعد المناقلات</t>
  </si>
  <si>
    <t>الفعلي2020</t>
  </si>
  <si>
    <t>المحجوز</t>
  </si>
  <si>
    <t>مخصص تقديري جهة 2021</t>
  </si>
  <si>
    <t>مخصص تقديري مالية 2021</t>
  </si>
  <si>
    <t>طريقة التمويل</t>
  </si>
  <si>
    <t>الملاحظات</t>
  </si>
  <si>
    <t>إعادة تقدير2020</t>
  </si>
  <si>
    <t>من الجامعة</t>
  </si>
  <si>
    <t>نفقات الوفود الرسميه والضيافه والحف�ت والفنادق</t>
  </si>
  <si>
    <t>انشاء مشروع المراسلات الالكترونية</t>
  </si>
  <si>
    <t>مكافآت تقييم الأبحاث للترقية</t>
  </si>
  <si>
    <t>دائرة العلاقات العامة والاعلام</t>
  </si>
  <si>
    <t>الرخصة الراديوية السنوية للإذاعة</t>
  </si>
  <si>
    <t>دائرة العلاقات الدولية</t>
  </si>
  <si>
    <t>طباعة بروشورات تعريفية للجامعة</t>
  </si>
  <si>
    <t>المشاركة في المعارض التعليمية مع الجامعات ا�ردنية</t>
  </si>
  <si>
    <t>اجهزةوتجهيزات وحواسيب وبرمجيات للتدريس والبحث العلمي-مختبرات</t>
  </si>
  <si>
    <t>نفقات البحث والتدريس(مواد بحثية وتعليمية, زجاجيات, كيماويات)</t>
  </si>
  <si>
    <t>كلية الاميرة سلمى بن عبدالله للتمريض</t>
  </si>
  <si>
    <t>كلية الامير حسين بن عبدالله لتكنولوجيا المعلو</t>
  </si>
  <si>
    <t>كلية العلوم التربوية</t>
  </si>
  <si>
    <t>كلية الاداب والعلوم الانسانية</t>
  </si>
  <si>
    <t>رسوم اشتراك في جمعية كليات الحقوق للجامعات العربية ومقرها جامعة الإمارات العربية المتحدة/ العين رسوم</t>
  </si>
  <si>
    <t>من خارج الجامعة</t>
  </si>
  <si>
    <t>أرواب التخريج ..</t>
  </si>
  <si>
    <t>مساهمة الجامعة في تطوير مكتب الإرشاد الوظيفي ومتابعةالخريجين</t>
  </si>
  <si>
    <t>أجهزة وتجهيزات وأدوات لأنشطة عمادة شؤون الطلبةوصالات الرياضة</t>
  </si>
  <si>
    <t>أجهزة وتجهيزات خاصة بقاعة استقبال وسكن الطلبة الوافدين</t>
  </si>
  <si>
    <t>كشف التشابه في ا�بحاث والرسائل وا�طروحات العلمية</t>
  </si>
  <si>
    <t>مجلة المنارة (طباعة,تجليد,مكافآت )</t>
  </si>
  <si>
    <t>المجلة ا�ردنية للدراسات ا�س�مية</t>
  </si>
  <si>
    <t>معهد علوم الارض والبيئة</t>
  </si>
  <si>
    <t>معهد الدراسات الاسلامية</t>
  </si>
  <si>
    <t>مشروع تطوير المقسم upgrade Servers and Cards</t>
  </si>
  <si>
    <t>مشروع لتطوير المقسم</t>
  </si>
  <si>
    <t>نظام اطفاء حريق للمقسم</t>
  </si>
  <si>
    <t>لا يوجد نظام اطفاء حريق للمقسم</t>
  </si>
  <si>
    <t>مشروط بالتمويل الخارجي</t>
  </si>
  <si>
    <t>عقد صيانة الشبكة مع نظام المراقبة 40000 مواد ومعدات الشبكة 15000 جهاز لمراقبة الشبكة 2</t>
  </si>
  <si>
    <t>-</t>
  </si>
  <si>
    <t>منها 10000 رخص حالية ومنها 50000 تقريبا مستحقات سابقة -</t>
  </si>
  <si>
    <t>رخص الانظمة المختلفة -</t>
  </si>
  <si>
    <t>هناك امكانية لزيادة الرخص -</t>
  </si>
  <si>
    <t>منها 30000 رخص الجدار االناري و 10000 رخض مضاد فيروسات</t>
  </si>
  <si>
    <t>نظام النسخ ا�حتياطي</t>
  </si>
  <si>
    <t>مشروع backup to disk</t>
  </si>
  <si>
    <t>اجهزة وتجهيزات للمقسم</t>
  </si>
  <si>
    <t>صيانة وصلات ارضية 5000 معدات ومواد اتصالات 3000 عقد صيانة المقسم 5000</t>
  </si>
  <si>
    <t>مركز الاستشارات والخدمات الفني</t>
  </si>
  <si>
    <t>مركز تطوير اداء اعضاء هيئة الت</t>
  </si>
  <si>
    <t>مركز دراسات العالم الاسلامي</t>
  </si>
  <si>
    <t>مركز بحوث المياه والبيئة والمناطق الجافة</t>
  </si>
  <si>
    <t>مركز التعلم الالكتروني</t>
  </si>
  <si>
    <t>تطوير البنية التحتية لنظام التعلم الالكتروني</t>
  </si>
  <si>
    <t>خدمات سحابية ،خوادم، أنظمة أمن معلومات</t>
  </si>
  <si>
    <t>تجهيزات فنية وحاسوبية لمركز التعلم الالكتروني</t>
  </si>
  <si>
    <t>تطوير المختبرات الحاسوبية (أجهزة حواسيب وملحقاتها، أنظمة مراقبة)</t>
  </si>
  <si>
    <t>دورات تدريببية متخصصة ببرمجيات التعلم الالكتروني</t>
  </si>
  <si>
    <t>مركز دراسات المرأة</t>
  </si>
  <si>
    <t>ضيافة</t>
  </si>
  <si>
    <t>ورشة عمل</t>
  </si>
  <si>
    <t>مركز الجودة والتطوير</t>
  </si>
  <si>
    <t>بدل استحداث واعتماد تخصصات الجامعه</t>
  </si>
  <si>
    <t>تقوم الجامعه سنويا باستحداث وا عتماد تخصصات جديدة</t>
  </si>
  <si>
    <t>وورش عمل وندوات</t>
  </si>
  <si>
    <t>ضيافه</t>
  </si>
  <si>
    <t>مركز الدراسات الاسلامية والثقافية</t>
  </si>
  <si>
    <t>مركز بحوث البيئة والمياه والطاقة</t>
  </si>
  <si>
    <t>اجهزة وتجهيزات وحواسيب و برمجيات للتدريس</t>
  </si>
  <si>
    <t>نفقات البحث والتدريس (مواد بحثية )</t>
  </si>
  <si>
    <t>صيانه وعقود صيانة اجهزة المختبرات</t>
  </si>
  <si>
    <t>شراء اجهزة بحثية جديدة</t>
  </si>
  <si>
    <t>يمكن دعم جزء من المبلغ عن طريق المشاريع</t>
  </si>
  <si>
    <t>تدريب</t>
  </si>
  <si>
    <t>دائرة الخدمات العامة</t>
  </si>
  <si>
    <t>مستلزمات تجميل وتحسين دوار مرافق الجامعة</t>
  </si>
  <si>
    <t>شراء طفايات الحريق</t>
  </si>
  <si>
    <t>معدات سلامه عامه للحالات الطارئة</t>
  </si>
  <si>
    <t>اجور تدريب وتاهيل العاملين على اجراءات السلامه العامه</t>
  </si>
  <si>
    <t>تحوير واعادة تنظيم قسم المفاتيح وعمل لوحات جديده وحوسبة اعمال المفاتيح</t>
  </si>
  <si>
    <t>مواد ومستلزمات لغايات كلورة المياه الصالحة للشرب والمياه العادمة</t>
  </si>
  <si>
    <t>استئجار عمال زراعه</t>
  </si>
  <si>
    <t>مبيدات صحة عامة ومواد تعقيم</t>
  </si>
  <si>
    <t>ملابس مهنية لعمال الزراعه والنظافة ومحطة التنقية</t>
  </si>
  <si>
    <t>اسمدة ومبيدات ومستلزمات زراعية</t>
  </si>
  <si>
    <t>أجهزة ومعدات وماتورات حاجة دائرة الزراعة</t>
  </si>
  <si>
    <t>أجهزة ومعدات للنظافة والسلامة العامة والوقاية الصحية</t>
  </si>
  <si>
    <t>خطوط مياه الري والشرب</t>
  </si>
  <si>
    <t>انشاء محطة تحلية وتعقيم المياه</t>
  </si>
  <si>
    <t>دائرة اللوازم والمستودعات</t>
  </si>
  <si>
    <t>دائرة المالية</t>
  </si>
  <si>
    <t>دائرةالقبول والتسجيل</t>
  </si>
  <si>
    <t>ورق وثائق بنظام الدرجات العلمية</t>
  </si>
  <si>
    <t>اجهزه وتجهيزات حاسويبة وملحقاتها</t>
  </si>
  <si>
    <t>شهادات وحافظات التخرج</t>
  </si>
  <si>
    <t>يرجى اعادة النظر بان تكون سلفة دائرة القبول والتسجيل متكرره لحاجة الدائرة</t>
  </si>
  <si>
    <t>اشتراك المكتبة في مركز التميز في الخدمات المكتبية للجامعات الاردنية الرسمية</t>
  </si>
  <si>
    <t>اجهزة لتكملة حوسبة شعبة الفهرسة والتصنيف والتزويدوالاعارة والارجاع</t>
  </si>
  <si>
    <t>كتب ودوريات وقواعدالبيانات الورقية والالكترونية</t>
  </si>
  <si>
    <t>دائرة العطاءات والمشتريات</t>
  </si>
  <si>
    <t>دائرة الرقابة</t>
  </si>
  <si>
    <t>دائرة الامن الجامعي</t>
  </si>
  <si>
    <t>سلفه للحالات الطارئه</t>
  </si>
  <si>
    <t>دائرة الهندسة</t>
  </si>
  <si>
    <t>مساح حاسب كميات مراقب ابنيه</t>
  </si>
  <si>
    <t>مواد ولوازم صيانة وعقود صيانة المباني</t>
  </si>
  <si>
    <t>مواد ولوازم وقطع غيار وعقود صيانةالتجهيزات والاجهزة والمعدات</t>
  </si>
  <si>
    <t>أجهزة ومعدات حاجة دائرة الهندسة والصيانة</t>
  </si>
  <si>
    <t>حاجة الملرسم</t>
  </si>
  <si>
    <t>اعدادمخططات أوليةلمشاريع وأبنيةمستقبليةوأجهزة للمرسم الهندسي</t>
  </si>
  <si>
    <t>مشروع تجهيزالاستادالرياضي(ملعب كرة القدم)ومضمارألعاب القوى</t>
  </si>
  <si>
    <t>تطوير وتوسعة البنية التحتية/طرق وأرصفة وساحات وأعمال مختلفة</t>
  </si>
  <si>
    <t>دائرة الصيانة والانتاج</t>
  </si>
  <si>
    <t>مشروع مسبح (البحتري)</t>
  </si>
  <si>
    <t>منحة الديوان الملكي</t>
  </si>
  <si>
    <t>معالجة رطوبة واجهات المباني-قصاره ومواد عزل</t>
  </si>
  <si>
    <t>قصاره مواد عزل دهان رشة</t>
  </si>
  <si>
    <t>تزفيت و معالجة رطوبة اسطح المباني-زفته أو رولات</t>
  </si>
  <si>
    <t>زفته ساخنه أو رولات زفته معالجة فواصل التمدد</t>
  </si>
  <si>
    <t>صيانة تصريف المياه في الساحات والشوارع ومجاري المياه</t>
  </si>
  <si>
    <t>ملابس موظفين</t>
  </si>
  <si>
    <t>ديزل تدفئه منزليه</t>
  </si>
  <si>
    <t>تدفئه مركزيه</t>
  </si>
  <si>
    <t>تزفيت طرق وساحات</t>
  </si>
  <si>
    <t>دهانات مختلفه ولوازمها واكسسواراتها</t>
  </si>
  <si>
    <t>صيانة حمامات الجامعه وعددها يفوق ال 2000</t>
  </si>
  <si>
    <t>مشروع تجهيز الاستاد الرياضي وتعديله</t>
  </si>
  <si>
    <t>استئجار اليات ومعدات مختلفه</t>
  </si>
  <si>
    <t>استبدال انارة الشوارع ب ليد</t>
  </si>
  <si>
    <t>مولد كهرباء للصاله الرياضيه</t>
  </si>
  <si>
    <t>استئجار فنيين وعمال بالاجره اليوميه</t>
  </si>
  <si>
    <t>مواد ولوازم وقطع غيار للمباني وللاجهزه</t>
  </si>
  <si>
    <t>عقود صيانة مرافق المباني</t>
  </si>
  <si>
    <t>حاجة دائرة الصيانه والانتاج</t>
  </si>
  <si>
    <t>مواد خام اوليه للدائره</t>
  </si>
  <si>
    <t>اسمنت،حديد،رمل،طوب،خشب</t>
  </si>
  <si>
    <t>التجهيزات والاجهزة الخاصة بالدائرة</t>
  </si>
  <si>
    <t>أجهزة ومعدات حاجة دائرة الانتاج والتصنيع والتدريب</t>
  </si>
  <si>
    <t>مواد أولية حاجة دائرة الانتاج والتصنيع والتدريب</t>
  </si>
  <si>
    <t>فعاليات و أنشطه</t>
  </si>
  <si>
    <t>اجهزة و معدات</t>
  </si>
  <si>
    <t>فعاليات و أنشطه عامة و وطنية</t>
  </si>
  <si>
    <t>دائرة مشاريع الطاقة</t>
  </si>
  <si>
    <t>مشريع طاقة شمسية حاجة مبنى كلية الهندسة وكلية الاقتصاد والبئر الارتوازي ومشاريع تسخين ماء</t>
  </si>
  <si>
    <t>اعمال صيانة وقطع غيار واستئجار عمالة فنيه لاعمال ومشاريع الطاقة</t>
  </si>
  <si>
    <t>مخصصات الشواغر والاحداثات</t>
  </si>
  <si>
    <t>فوائد وعمو�ت مصرفية (مدينة)</t>
  </si>
  <si>
    <t>المساهمة في مقر ا�مانة �تحاد الجامعات العربية</t>
  </si>
  <si>
    <t>جمعية كليات العلوم بالجامعات أعضاء اتحاد الجامعات العربية</t>
  </si>
  <si>
    <t>مساهمه الجامعه في اتحاد رابطه الجامعات الاسلامية</t>
  </si>
  <si>
    <t>الجمعية الاردنية للبحث العلمي والريادة والإبداع</t>
  </si>
  <si>
    <t>عجز متراكم من سنوات سابقة</t>
  </si>
  <si>
    <t>تسديد قرض صندوق الادخار/ جامعة آل البيت (المستحق)</t>
  </si>
  <si>
    <t>تسديد عجز الموازنة الفعلي للسنة المالية 2020</t>
  </si>
  <si>
    <t>مشروع بناء كلية الهندسة</t>
  </si>
  <si>
    <t>مشروع بناء ملحق كلية التمريض /المرحلة الثانية</t>
  </si>
  <si>
    <t>مشروع بناء كلية ادارة المال والاعمال</t>
  </si>
  <si>
    <t>مشروع انشاء كلية طب</t>
  </si>
  <si>
    <t>مبنى مركز الحاسوب</t>
  </si>
  <si>
    <t>مجمع القاعات التدريسية وقاعة المؤتمرات</t>
  </si>
  <si>
    <t>جمنازيوم رياضي متعدد الأغراض / تربية بدنية</t>
  </si>
  <si>
    <t>تطوير وتأهيل البنية التحتية للشبكات المختلفة/مشروطة بالتمويل</t>
  </si>
  <si>
    <t>تأهيل مسابح الجامعة/المسبح الأولمبي</t>
  </si>
  <si>
    <t>PADILEIA-Partnership for Digital Learning&amp;Increased ACCESS</t>
  </si>
  <si>
    <t>تطوير الموقع الالكتروني مركز الحاسوب/منحة تعليم عالي</t>
  </si>
  <si>
    <t>مشروع المراسلات والارشفة الالكترونية</t>
  </si>
  <si>
    <t>نفقات تدريس أبناء الشهداء والمصابين العسكريين/ بكا عادي</t>
  </si>
  <si>
    <t>نفقات أبناء العاملين في الجامعات الحكومية/ بكا عادي</t>
  </si>
  <si>
    <t>نفقات تدريس ذوي الاحتياجات الخاصة/ بكا عادي</t>
  </si>
  <si>
    <t>نفقات تدريس طلاب الديوان الملكي/ بكا عادي</t>
  </si>
  <si>
    <t>نفقات تدريس طلاب وزارة الصحة/ بكا عادي</t>
  </si>
  <si>
    <t>نفقات تدريس أبناء الشهداء والمصابين العسكريين/ غير العادي</t>
  </si>
  <si>
    <t>نفقات تدريس أبناء العاملين في الجامعات الحكومية/ غير عادي</t>
  </si>
  <si>
    <t>نفقات تدريس ذوي الاحتياجات الخاصة/ غير العادي</t>
  </si>
  <si>
    <t>نفقات تدريس طلاب وزارة الصحة/ غير العادي</t>
  </si>
  <si>
    <t>نفقات الالتزامات المدورة من سنوات سابقة</t>
  </si>
  <si>
    <t>التزامات نفقات متكررة مدورة من سنوات سابقة</t>
  </si>
  <si>
    <t>التزامات نفقات بحث علمي مدورة من سنوات سابقة</t>
  </si>
  <si>
    <t>التزامات نفقات رأسمالية مدورة من سنوات سابقة</t>
  </si>
  <si>
    <t>مخصصات الايرادات</t>
  </si>
  <si>
    <t>رسوم طلبات التحاق/ العادي</t>
  </si>
  <si>
    <t>رسوم طلبات التحاق/ الموازي</t>
  </si>
  <si>
    <t>رسوم جامعية مستحقة (البرامج الأخرى)</t>
  </si>
  <si>
    <t>ايرادات سكن الط�ب</t>
  </si>
  <si>
    <t>ايرادات بدل ايجار مباني ومرافق مستحقة عن سنوات سابقة</t>
  </si>
  <si>
    <t>تأجير أراضي الجامعة/ الطاقة الشمسية</t>
  </si>
  <si>
    <t>بدل رواتب موظفي صندوق الاستثماروملحقاتها(نهاية خدمة,ادخار)</t>
  </si>
  <si>
    <t>قرض بنك القاهرة/عمان- سلف البنك المركزي للجامعات</t>
  </si>
  <si>
    <t>مشروع إنشاء كلية طب</t>
  </si>
  <si>
    <t>جمنازيوم رياضي متعدد الأغراض/ تربية بدنية</t>
  </si>
  <si>
    <t>إيرادات تدريس أبناء الشهداء والمصابين العسكريين/ بكا عادي</t>
  </si>
  <si>
    <t>إيرادات تدريس أبناء العاملين في الجامعات الحكومية/ بكا عادي</t>
  </si>
  <si>
    <t>إيرادات تدريس ذوي الاحتياجات الخاصة /بكا عادي</t>
  </si>
  <si>
    <t>إيرادات تدريس طلاب الديوان الملكي /بكا عادي</t>
  </si>
  <si>
    <t>إيرادات تدريس طلاب وزارة الصحة /بكا عادي</t>
  </si>
  <si>
    <t>إيرادات تدريس أبناء الشهداء والمصابين العسكريين/ غير العادي</t>
  </si>
  <si>
    <t>إيرادات تدريس أبناء العاملين في الجامعات الحكومية/ غير عادي</t>
  </si>
  <si>
    <t>إيرادات تدريس ذوي الاحتياجات الخاصة/ غير العادي</t>
  </si>
  <si>
    <t>إيرادات تدريس طلاب وزارة الصحة/ غير العادي</t>
  </si>
  <si>
    <t>دائرة الهندسة
سابقا:
دائرة الهندسة والصيانة</t>
  </si>
  <si>
    <t>دائرة الصيانة والانتاج
سابقا:
دائرة الانتاج والتصنيع والتدريب</t>
  </si>
  <si>
    <t>مواد أولية حاجة دائرة الهندسة</t>
  </si>
  <si>
    <t>اجهزة ومعدات حاجة دائرة الهندسة</t>
  </si>
  <si>
    <t>الفصل الأول: دعم البحث العلمي ودعم النشر ومكافآت تقييم الأبحات ومراقبة إعداد الرسائل العلمية</t>
  </si>
  <si>
    <t>مجموع الفصل الأول: دعم البحث العلمي ودعم النشر ومكافآت تقييم الأبحات ومراقبة إعداد الرسائل العلمية</t>
  </si>
  <si>
    <t>الدورات التدريبية وورش التدريب</t>
  </si>
  <si>
    <r>
      <t xml:space="preserve">مجموع الفصل </t>
    </r>
    <r>
      <rPr>
        <b/>
        <u/>
        <sz val="10"/>
        <rFont val="Times New Roman"/>
        <family val="1"/>
        <scheme val="major"/>
      </rPr>
      <t>الأول</t>
    </r>
    <r>
      <rPr>
        <b/>
        <sz val="10"/>
        <rFont val="Times New Roman"/>
        <family val="1"/>
        <scheme val="major"/>
      </rPr>
      <t>: ريع الأموال المنقولة وغير المنقولة</t>
    </r>
  </si>
  <si>
    <t xml:space="preserve">الفصل الثاني: إيرادات متنوعة ومراكز علمية وسنين سابقة </t>
  </si>
  <si>
    <t>مجموع الباب الثاني: الدعم الحكومي</t>
  </si>
  <si>
    <t>الفصل الأول: ريع الأموال المنقولة وغير المنقولة</t>
  </si>
  <si>
    <t>الباب الثاني: الدعم الحكومي</t>
  </si>
  <si>
    <t>مجموع الباب الرابع: التبرعات والمنح والهبات</t>
  </si>
  <si>
    <t>مجموع الفصل الثاني: إيرادات متنوعة ومراكز علمية وسنين سابقة</t>
  </si>
  <si>
    <t>الباب الرابع: التبرعات والمنح والهبات</t>
  </si>
  <si>
    <t>تسديد عجز موازنة السنة المالية الحالية</t>
  </si>
  <si>
    <t>مشروع القريه الطلابيه</t>
  </si>
  <si>
    <t>وفر السنة الحالية</t>
  </si>
  <si>
    <t>الفصل الثامن: الفوائد والعمولات المصرفية</t>
  </si>
  <si>
    <t>الفصل التاسع: تسديد فوائد القروض</t>
  </si>
  <si>
    <t>مجموع الفصل الثامن: الفوائد والعمولات المصرفية</t>
  </si>
  <si>
    <t>مجموع الفصل التاسع: تسديد فوائد القروض</t>
  </si>
  <si>
    <t>الدورات التدريبية وورش عمل وندوات</t>
  </si>
  <si>
    <t>فعلي إلى مقدر بعد المناقلات</t>
  </si>
  <si>
    <t xml:space="preserve">فعلي إلى إجمالي موازنة </t>
  </si>
  <si>
    <t>الحساب الختامي حسب الجهات للسنة المالية المنتهية (2020)</t>
  </si>
  <si>
    <t xml:space="preserve"> الحساب الختامي للسنة المالية المنتهية (2020)</t>
  </si>
  <si>
    <t>فعلي إلى إجمالي مقدر</t>
  </si>
  <si>
    <t>فعلي إلى إجمالي موازنة</t>
  </si>
  <si>
    <t>تصنيفات فرعية لنفقات الحساب الختامي للسنة المالية (2020)</t>
  </si>
  <si>
    <t>تصنيفات فرعية لإيرادات الحساب الختامي للسنة المالية (2020)</t>
  </si>
  <si>
    <t>مواد نفقات الحساب الختامي للسنة المالية (2020)</t>
  </si>
  <si>
    <t>مواد إيرادات الحساب الختامي للسنة المالية (2020)</t>
  </si>
  <si>
    <t>فصول نفقات الحساب الختامي للسنة المالية (2020)</t>
  </si>
  <si>
    <t>فصول إيرادات الحساب الختامي للسنة المالية (2020)</t>
  </si>
  <si>
    <t>أبواب نفقات الحساب الختامي للسنة المالية (2020)</t>
  </si>
  <si>
    <t>أبواب إيرادات الحساب الختامي للسنة المالية (2020)</t>
  </si>
  <si>
    <t>فعلي إلى مقدر بعد المناقلات/ المادة</t>
  </si>
  <si>
    <t>فعلي إلى مقدر/ المادة</t>
  </si>
  <si>
    <t>فعلي إلى إيرادات فعلية</t>
  </si>
  <si>
    <t>الحساب</t>
  </si>
  <si>
    <t>رصيد بداية المدة</t>
  </si>
  <si>
    <t>الرصيد الحر</t>
  </si>
  <si>
    <t>رصيد نهاية المدة</t>
  </si>
  <si>
    <t>الزيادة/ النقص</t>
  </si>
  <si>
    <t>الذمم المدينة</t>
  </si>
  <si>
    <t>ذمم عامة</t>
  </si>
  <si>
    <t>ذمم عامة موظفين</t>
  </si>
  <si>
    <t>ذمم أخرى متفرقة ومتنوعة</t>
  </si>
  <si>
    <t>رديات الرسوم الجامعية</t>
  </si>
  <si>
    <t>حسابات وسيطة (مدينة)</t>
  </si>
  <si>
    <t>(الزيادة) النقص في الذمم المدينة</t>
  </si>
  <si>
    <t>ذمة عجز موازنة التمويل</t>
  </si>
  <si>
    <t>(الزيادة) النقص في ذمة عجز موازنة التمويل</t>
  </si>
  <si>
    <t>السلف</t>
  </si>
  <si>
    <t>(الزيادة) النقص في السلف</t>
  </si>
  <si>
    <t>الأمانات</t>
  </si>
  <si>
    <t>الأمانات العامة</t>
  </si>
  <si>
    <t>أمانات الرواتب الشهرية (قيد التسوية)</t>
  </si>
  <si>
    <t>أمانات الطلاب</t>
  </si>
  <si>
    <t>أمانات طلاب متنوعة (وسيطة)</t>
  </si>
  <si>
    <t>أمانات العاملين في الجامعة</t>
  </si>
  <si>
    <t>أمانات التزامات مدورة من سنوات سابقة</t>
  </si>
  <si>
    <t>حسابات وسيطة (دائنة)</t>
  </si>
  <si>
    <t>الزيادة (النقص) في الأمانات والذمم الدائنة</t>
  </si>
  <si>
    <t xml:space="preserve">صافي الزيادة (النقص)  في النقد  </t>
  </si>
  <si>
    <t>الأخرى</t>
  </si>
  <si>
    <t>الصندوق</t>
  </si>
  <si>
    <t>البنوك</t>
  </si>
  <si>
    <t>(الزيادة) النقص في الحساب المكشوف</t>
  </si>
  <si>
    <t>خلاصة أرصدة الأمانات والذمم للسنة المالية (2020)</t>
  </si>
  <si>
    <t>التدفقات النقدية</t>
  </si>
  <si>
    <t>التدفقات النقدية من عمليات التشغيل :</t>
  </si>
  <si>
    <t>الرسوم الجامعية المقبوضة</t>
  </si>
  <si>
    <t>الرواتب المدفوعة</t>
  </si>
  <si>
    <t xml:space="preserve">التعويضات و التأمينات المدفوعة </t>
  </si>
  <si>
    <t>النفقات العامة المشتركة المدفوعة</t>
  </si>
  <si>
    <t>نفقات اللوازم و الصيانة المدفوعة</t>
  </si>
  <si>
    <t>نفقات النشاطات الطلابية المدفوعة</t>
  </si>
  <si>
    <t>نفقات المساهمات المتكررة المدفوعة</t>
  </si>
  <si>
    <t>نفقات التزامات سنوات سابقة/ متكررة</t>
  </si>
  <si>
    <t>الزيادة (النقص) في الأمانات</t>
  </si>
  <si>
    <t xml:space="preserve">صافي التدفقات النقدية المتأتية ( المستخدمة) في العمليات التشغيلية </t>
  </si>
  <si>
    <t>التدفقات النقدية من عمليات الإستثمار :</t>
  </si>
  <si>
    <t>ايرادات مقبوضة من استثمارات مرافق ومشاريع الجامعة</t>
  </si>
  <si>
    <t>ايرادات مقبوضة من المراكز العلمية</t>
  </si>
  <si>
    <t>ايرادات متنوعة</t>
  </si>
  <si>
    <t>ايرادات مقبوضة من سنوات سابقة</t>
  </si>
  <si>
    <t>النفقات الرأسمالية المدفوعة</t>
  </si>
  <si>
    <t>نفقات التزامات سنوات سابقة/ رأسمالية</t>
  </si>
  <si>
    <t xml:space="preserve">صافي التدفقات النقدية المتأتية (المستخدمه) في العمليات الاستثمارية </t>
  </si>
  <si>
    <t>التدفقات النقدية من عمليات التمويل :</t>
  </si>
  <si>
    <t>التبرعات المقبوضة</t>
  </si>
  <si>
    <t>الفوائد المدينة المدفوعة</t>
  </si>
  <si>
    <t>مقبوضات الموازنة المشروطة بالتمويل</t>
  </si>
  <si>
    <t>مدفوعات الموازنة المشروطة بالتمويل</t>
  </si>
  <si>
    <t xml:space="preserve">صافي التدفقات النقدية المتأتية (المستخدمه) في العمليات التمويلية </t>
  </si>
  <si>
    <t xml:space="preserve">صافي الزيادة (النقص)  في النقد </t>
  </si>
  <si>
    <t>نقد في الصندوق ولدى البنوك - بداية السنة (دفترياً)</t>
  </si>
  <si>
    <t>نقد في الصندوق ولدى البنوك - نهاية السنة (دفترياً)</t>
  </si>
  <si>
    <t>جامعة آل البيت</t>
  </si>
  <si>
    <t>البند</t>
  </si>
  <si>
    <t>اجمالي الإيرادات</t>
  </si>
  <si>
    <t>اجمالي النفقات</t>
  </si>
  <si>
    <t>إيرادات الرسوم الجامعية</t>
  </si>
  <si>
    <t xml:space="preserve">الإيرادات الذاتية الأخرى + التبرعات والمنح </t>
  </si>
  <si>
    <t>الرواتب وتوابعها*</t>
  </si>
  <si>
    <t>النفقات المشتركة</t>
  </si>
  <si>
    <t xml:space="preserve">نفقات البحث العلمي </t>
  </si>
  <si>
    <t xml:space="preserve">نفقات الايفاد </t>
  </si>
  <si>
    <t>العجز النقدي الفعلي السنوي</t>
  </si>
  <si>
    <t xml:space="preserve">الاهمية النسبية لعناصر الايرادات والنفقات ونسب التغطية </t>
  </si>
  <si>
    <t>نسبة  إيرادات الرسوم الجامعية لاجمالي الإيرادات</t>
  </si>
  <si>
    <t>نسبة الدعم الحكومي لاجمالي الإيرادات</t>
  </si>
  <si>
    <t>نسبة الإيرادات الذاتية الأخرى إلى اجمالي الإيرادات</t>
  </si>
  <si>
    <t>نسبة النفقات المتكررة لإجمالي النفقات</t>
  </si>
  <si>
    <t>نسبة الرواتب وتوابعها لإجمالي النفقات المتكررة</t>
  </si>
  <si>
    <t xml:space="preserve">نسبة النفقات المشتركة الى اجمالي النفقات المتكررة </t>
  </si>
  <si>
    <t>نسبة الانفاق على البحث العلمي الى اجمالي النفقات</t>
  </si>
  <si>
    <t>نسبة الانفاق على الايفاد الى اجمالي النفقات</t>
  </si>
  <si>
    <t xml:space="preserve">نسبة تغطية اجمالي  الإيرادات  لاجمالي النفقات </t>
  </si>
  <si>
    <t>نسبة تغطية إيرادات الرسوم الجامعية للنفقات المتكررة</t>
  </si>
  <si>
    <t xml:space="preserve">نسبة تغطية إيرادات الرسوم الجامعية للرواتب وتوابعها </t>
  </si>
  <si>
    <t>نسبة العجز النقدي الفعلي السنوي إلى اجمالي النفقات</t>
  </si>
  <si>
    <t>* علما بأن المقصود بتوابع الرواتب هي مساهمات الجامعة في صندوق الادخار  والضمان الاجتماعي والتأمين الصحي عن العاملين فيها</t>
  </si>
  <si>
    <t>البيانات المالية الفعلية والمؤشرات المالية للسنة المالية (2020)</t>
  </si>
  <si>
    <t>العجز المدور</t>
  </si>
  <si>
    <t>العجز المدور/ جديد</t>
  </si>
  <si>
    <t>النفقات العلمية ونفقات البحث العلمي و البعثات العلمية المدفوعة</t>
  </si>
  <si>
    <t>المجاميع للذمم</t>
  </si>
  <si>
    <t>عجز السنة الحالية</t>
  </si>
  <si>
    <t>بيان التدفقات النقدية الفعلية للسنة المالية المنتهية (2020)</t>
  </si>
  <si>
    <t>أبناء المصابين العسكريين (جسيم) وأبناء الشهداء</t>
  </si>
  <si>
    <t>أبناء العاملين في الجامعات الحكومية</t>
  </si>
  <si>
    <t>الديوان الملكي</t>
  </si>
  <si>
    <t>ذوي الاحتياجات الخاصة</t>
  </si>
  <si>
    <t>بكالوريوس عادي</t>
  </si>
  <si>
    <t>بكالوريوس موازي</t>
  </si>
  <si>
    <t>ماجستير عادي</t>
  </si>
  <si>
    <t>ماجستير دولي</t>
  </si>
  <si>
    <t>دكتوراة</t>
  </si>
  <si>
    <t>دبلوم عالي</t>
  </si>
  <si>
    <t>أعداد الطلبة الدارسين على نفقة الجامعة</t>
  </si>
  <si>
    <t>مبتعثي وزارة الصحة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</si>
</sst>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;[Red]#,##0"/>
    <numFmt numFmtId="165" formatCode="0;[Red]0"/>
    <numFmt numFmtId="166" formatCode="#,##0.000"/>
    <numFmt numFmtId="167" formatCode="#,##0.00000"/>
    <numFmt numFmtId="168" formatCode="0.000%"/>
    <numFmt numFmtId="169" formatCode="#,##0_);[Red]\(#,##0\)"/>
    <numFmt numFmtId="170" formatCode="_ * #,##0_ ;_ * \(#,##0\);_ * &quot;-&quot;??_ ;_ @_ "/>
    <numFmt numFmtId="171" formatCode="000000"/>
    <numFmt numFmtId="172" formatCode="#,##0.000;[Red]#,##0.000"/>
  </numFmts>
  <fonts count="64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Times New Roman"/>
      <family val="1"/>
      <scheme val="major"/>
    </font>
    <font>
      <sz val="10"/>
      <name val="Times New Roman"/>
      <family val="1"/>
      <scheme val="major"/>
    </font>
    <font>
      <sz val="10"/>
      <color theme="1"/>
      <name val="Times New Roman"/>
      <family val="1"/>
      <scheme val="major"/>
    </font>
    <font>
      <b/>
      <sz val="10"/>
      <name val="Times New Roman"/>
      <family val="1"/>
      <scheme val="maj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Arial"/>
      <family val="2"/>
      <scheme val="minor"/>
    </font>
    <font>
      <sz val="20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1"/>
      <color rgb="FF000000"/>
      <name val="Arial"/>
      <family val="2"/>
      <charset val="178"/>
      <scheme val="minor"/>
    </font>
    <font>
      <b/>
      <sz val="12"/>
      <name val="Times New Roman"/>
      <family val="1"/>
      <scheme val="maj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8"/>
      <color theme="1"/>
      <name val="Arial"/>
      <family val="2"/>
      <charset val="178"/>
      <scheme val="minor"/>
    </font>
    <font>
      <sz val="8"/>
      <color theme="1"/>
      <name val="Times New Roman"/>
      <family val="1"/>
      <scheme val="major"/>
    </font>
    <font>
      <sz val="8"/>
      <color theme="1"/>
      <name val="Arial"/>
      <family val="2"/>
      <scheme val="minor"/>
    </font>
    <font>
      <sz val="12"/>
      <color theme="1"/>
      <name val="Arial"/>
      <family val="2"/>
      <charset val="178"/>
      <scheme val="minor"/>
    </font>
    <font>
      <sz val="12"/>
      <color theme="1"/>
      <name val="Times New Roman"/>
      <family val="1"/>
      <scheme val="major"/>
    </font>
    <font>
      <sz val="12"/>
      <name val="Times New Roman"/>
      <family val="1"/>
      <scheme val="major"/>
    </font>
    <font>
      <b/>
      <sz val="12"/>
      <color theme="1"/>
      <name val="Times New Roman"/>
      <family val="1"/>
      <scheme val="major"/>
    </font>
    <font>
      <b/>
      <sz val="10"/>
      <color theme="1"/>
      <name val="Arial"/>
      <family val="2"/>
      <scheme val="minor"/>
    </font>
    <font>
      <b/>
      <u/>
      <sz val="10"/>
      <name val="Times New Roman"/>
      <family val="1"/>
      <scheme val="major"/>
    </font>
    <font>
      <sz val="10"/>
      <color theme="1"/>
      <name val="Arial"/>
      <family val="2"/>
      <scheme val="minor"/>
    </font>
    <font>
      <b/>
      <sz val="11"/>
      <color rgb="FFCEC295"/>
      <name val="Arial"/>
      <family val="2"/>
      <scheme val="minor"/>
    </font>
    <font>
      <sz val="10"/>
      <color theme="1"/>
      <name val="Arial"/>
      <family val="2"/>
      <charset val="178"/>
      <scheme val="minor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  <scheme val="major"/>
    </font>
    <font>
      <sz val="10"/>
      <color indexed="10"/>
      <name val="Times New Roman"/>
      <family val="1"/>
    </font>
    <font>
      <sz val="8"/>
      <name val="Times New Roman"/>
      <family val="1"/>
      <scheme val="major"/>
    </font>
  </fonts>
  <fills count="8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auto="1"/>
      </patternFill>
    </fill>
    <fill>
      <patternFill patternType="solid">
        <fgColor rgb="FF33CCFF"/>
        <bgColor indexed="64"/>
      </patternFill>
    </fill>
    <fill>
      <patternFill patternType="solid">
        <fgColor rgb="FFFF0066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99FF"/>
        </stop>
      </gradient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auto="1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auto="1"/>
      </patternFill>
    </fill>
    <fill>
      <patternFill patternType="solid">
        <fgColor rgb="FFCCCC00"/>
        <bgColor indexed="64"/>
      </patternFill>
    </fill>
    <fill>
      <patternFill patternType="solid">
        <fgColor rgb="FF00CC99"/>
        <bgColor auto="1"/>
      </patternFill>
    </fill>
    <fill>
      <patternFill patternType="solid">
        <fgColor rgb="FF00CCFF"/>
        <bgColor auto="1"/>
      </patternFill>
    </fill>
    <fill>
      <patternFill patternType="solid">
        <fgColor rgb="FF00CCFF"/>
        <bgColor indexed="64"/>
      </patternFill>
    </fill>
    <fill>
      <patternFill patternType="solid">
        <fgColor rgb="FFFFCCFF"/>
        <bgColor auto="1"/>
      </patternFill>
    </fill>
    <fill>
      <patternFill patternType="solid">
        <fgColor rgb="FFCCCCFF"/>
        <bgColor auto="1"/>
      </patternFill>
    </fill>
    <fill>
      <patternFill patternType="solid">
        <fgColor rgb="FFFF9999"/>
        <bgColor auto="1"/>
      </patternFill>
    </fill>
    <fill>
      <patternFill patternType="solid">
        <fgColor rgb="FFCC66FF"/>
        <bgColor auto="1"/>
      </patternFill>
    </fill>
    <fill>
      <patternFill patternType="solid">
        <fgColor rgb="FF00CC99"/>
        <bgColor indexed="64"/>
      </patternFill>
    </fill>
    <fill>
      <patternFill patternType="solid">
        <fgColor rgb="FFCCECFF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auto="1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auto="1"/>
      </patternFill>
    </fill>
    <fill>
      <patternFill patternType="solid">
        <fgColor theme="4" tint="0.59999389629810485"/>
        <bgColor auto="1"/>
      </patternFill>
    </fill>
    <fill>
      <patternFill patternType="solid">
        <fgColor rgb="FFCCCC00"/>
        <bgColor auto="1"/>
      </patternFill>
    </fill>
    <fill>
      <patternFill patternType="solid">
        <fgColor rgb="FFCCFF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770000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4E8975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5">
    <xf numFmtId="0" fontId="0" fillId="0" borderId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31" borderId="13" applyNumberFormat="0" applyAlignment="0" applyProtection="0"/>
    <xf numFmtId="0" fontId="20" fillId="32" borderId="14" applyNumberFormat="0" applyAlignment="0" applyProtection="0"/>
    <xf numFmtId="0" fontId="21" fillId="32" borderId="13" applyNumberFormat="0" applyAlignment="0" applyProtection="0"/>
    <xf numFmtId="0" fontId="22" fillId="0" borderId="15" applyNumberFormat="0" applyFill="0" applyAlignment="0" applyProtection="0"/>
    <xf numFmtId="0" fontId="23" fillId="33" borderId="16" applyNumberFormat="0" applyAlignment="0" applyProtection="0"/>
    <xf numFmtId="0" fontId="24" fillId="0" borderId="0" applyNumberFormat="0" applyFill="0" applyBorder="0" applyAlignment="0" applyProtection="0"/>
    <xf numFmtId="0" fontId="11" fillId="34" borderId="17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7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27" fillId="58" borderId="0" applyNumberFormat="0" applyBorder="0" applyAlignment="0" applyProtection="0"/>
    <xf numFmtId="0" fontId="28" fillId="0" borderId="0"/>
    <xf numFmtId="0" fontId="2" fillId="0" borderId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31" borderId="13" applyNumberFormat="0" applyAlignment="0" applyProtection="0"/>
    <xf numFmtId="0" fontId="38" fillId="32" borderId="14" applyNumberFormat="0" applyAlignment="0" applyProtection="0"/>
    <xf numFmtId="0" fontId="39" fillId="32" borderId="13" applyNumberFormat="0" applyAlignment="0" applyProtection="0"/>
    <xf numFmtId="0" fontId="40" fillId="0" borderId="15" applyNumberFormat="0" applyFill="0" applyAlignment="0" applyProtection="0"/>
    <xf numFmtId="0" fontId="41" fillId="33" borderId="16" applyNumberFormat="0" applyAlignment="0" applyProtection="0"/>
    <xf numFmtId="0" fontId="42" fillId="0" borderId="0" applyNumberFormat="0" applyFill="0" applyBorder="0" applyAlignment="0" applyProtection="0"/>
    <xf numFmtId="0" fontId="2" fillId="34" borderId="17" applyNumberFormat="0" applyFont="0" applyAlignment="0" applyProtection="0"/>
    <xf numFmtId="0" fontId="43" fillId="0" borderId="0" applyNumberFormat="0" applyFill="0" applyBorder="0" applyAlignment="0" applyProtection="0"/>
    <xf numFmtId="0" fontId="9" fillId="0" borderId="18" applyNumberFormat="0" applyFill="0" applyAlignment="0" applyProtection="0"/>
    <xf numFmtId="0" fontId="44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44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44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44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44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44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1" fillId="0" borderId="0"/>
    <xf numFmtId="0" fontId="1" fillId="34" borderId="17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</cellStyleXfs>
  <cellXfs count="458">
    <xf numFmtId="0" fontId="0" fillId="0" borderId="0" xfId="0"/>
    <xf numFmtId="0" fontId="0" fillId="0" borderId="0" xfId="0" applyFill="1"/>
    <xf numFmtId="0" fontId="5" fillId="0" borderId="0" xfId="0" applyFont="1"/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/>
    <xf numFmtId="164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1" xfId="0" applyFont="1" applyFill="1" applyBorder="1" applyAlignment="1">
      <alignment vertical="center"/>
    </xf>
    <xf numFmtId="0" fontId="10" fillId="0" borderId="0" xfId="0" applyFont="1" applyAlignment="1"/>
    <xf numFmtId="0" fontId="0" fillId="0" borderId="0" xfId="0" applyAlignment="1"/>
    <xf numFmtId="3" fontId="0" fillId="0" borderId="0" xfId="0" applyNumberFormat="1"/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0" fillId="27" borderId="2" xfId="0" applyFill="1" applyBorder="1"/>
    <xf numFmtId="0" fontId="0" fillId="27" borderId="3" xfId="0" applyFill="1" applyBorder="1"/>
    <xf numFmtId="0" fontId="0" fillId="27" borderId="4" xfId="0" applyFill="1" applyBorder="1"/>
    <xf numFmtId="0" fontId="0" fillId="27" borderId="5" xfId="0" applyFill="1" applyBorder="1"/>
    <xf numFmtId="0" fontId="0" fillId="27" borderId="0" xfId="0" applyFill="1" applyBorder="1"/>
    <xf numFmtId="0" fontId="0" fillId="27" borderId="6" xfId="0" applyFill="1" applyBorder="1"/>
    <xf numFmtId="0" fontId="0" fillId="27" borderId="5" xfId="0" applyFill="1" applyBorder="1" applyAlignment="1"/>
    <xf numFmtId="0" fontId="0" fillId="27" borderId="0" xfId="0" applyFill="1" applyBorder="1" applyAlignment="1"/>
    <xf numFmtId="0" fontId="0" fillId="27" borderId="0" xfId="0" applyFill="1" applyBorder="1" applyAlignment="1">
      <alignment horizontal="center"/>
    </xf>
    <xf numFmtId="0" fontId="0" fillId="27" borderId="6" xfId="0" applyFill="1" applyBorder="1" applyAlignment="1">
      <alignment horizontal="center"/>
    </xf>
    <xf numFmtId="0" fontId="0" fillId="27" borderId="7" xfId="0" applyFill="1" applyBorder="1"/>
    <xf numFmtId="0" fontId="0" fillId="27" borderId="8" xfId="0" applyFill="1" applyBorder="1"/>
    <xf numFmtId="0" fontId="0" fillId="27" borderId="9" xfId="0" applyFill="1" applyBorder="1"/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5" fillId="60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0" fillId="0" borderId="0" xfId="0" applyBorder="1"/>
    <xf numFmtId="1" fontId="5" fillId="0" borderId="1" xfId="0" applyNumberFormat="1" applyFont="1" applyBorder="1" applyAlignment="1">
      <alignment horizontal="right" vertical="center"/>
    </xf>
    <xf numFmtId="9" fontId="4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/>
    <xf numFmtId="3" fontId="5" fillId="15" borderId="1" xfId="0" applyNumberFormat="1" applyFont="1" applyFill="1" applyBorder="1" applyAlignment="1">
      <alignment horizontal="right" vertical="center"/>
    </xf>
    <xf numFmtId="3" fontId="5" fillId="25" borderId="1" xfId="0" applyNumberFormat="1" applyFont="1" applyFill="1" applyBorder="1" applyAlignment="1">
      <alignment horizontal="right" vertical="center"/>
    </xf>
    <xf numFmtId="3" fontId="5" fillId="66" borderId="1" xfId="0" applyNumberFormat="1" applyFont="1" applyFill="1" applyBorder="1" applyAlignment="1">
      <alignment horizontal="right" vertical="center"/>
    </xf>
    <xf numFmtId="3" fontId="5" fillId="14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vertical="center"/>
    </xf>
    <xf numFmtId="3" fontId="4" fillId="14" borderId="1" xfId="0" applyNumberFormat="1" applyFont="1" applyFill="1" applyBorder="1" applyAlignment="1">
      <alignment horizontal="right" vertical="center"/>
    </xf>
    <xf numFmtId="3" fontId="8" fillId="5" borderId="1" xfId="0" applyNumberFormat="1" applyFont="1" applyFill="1" applyBorder="1" applyAlignment="1">
      <alignment horizontal="right" vertical="center"/>
    </xf>
    <xf numFmtId="3" fontId="8" fillId="14" borderId="1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 applyAlignment="1">
      <alignment vertical="center"/>
    </xf>
    <xf numFmtId="3" fontId="4" fillId="60" borderId="1" xfId="0" applyNumberFormat="1" applyFont="1" applyFill="1" applyBorder="1" applyAlignment="1">
      <alignment horizontal="right" vertical="center"/>
    </xf>
    <xf numFmtId="3" fontId="4" fillId="6" borderId="1" xfId="0" applyNumberFormat="1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>
      <alignment horizontal="right" vertical="center"/>
    </xf>
    <xf numFmtId="3" fontId="5" fillId="12" borderId="1" xfId="0" applyNumberFormat="1" applyFont="1" applyFill="1" applyBorder="1" applyAlignment="1">
      <alignment horizontal="right" vertical="center"/>
    </xf>
    <xf numFmtId="3" fontId="5" fillId="17" borderId="1" xfId="0" applyNumberFormat="1" applyFont="1" applyFill="1" applyBorder="1" applyAlignment="1">
      <alignment horizontal="right" vertical="center"/>
    </xf>
    <xf numFmtId="3" fontId="5" fillId="60" borderId="1" xfId="0" applyNumberFormat="1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4" fillId="0" borderId="0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3" fontId="5" fillId="14" borderId="1" xfId="0" applyNumberFormat="1" applyFont="1" applyFill="1" applyBorder="1" applyAlignment="1">
      <alignment horizontal="right" vertical="center" wrapText="1"/>
    </xf>
    <xf numFmtId="3" fontId="4" fillId="14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3" fontId="5" fillId="67" borderId="1" xfId="0" applyNumberFormat="1" applyFont="1" applyFill="1" applyBorder="1" applyAlignment="1">
      <alignment horizontal="right" vertical="center"/>
    </xf>
    <xf numFmtId="3" fontId="5" fillId="67" borderId="1" xfId="0" applyNumberFormat="1" applyFont="1" applyFill="1" applyBorder="1" applyAlignment="1">
      <alignment horizontal="right" vertical="center" wrapText="1"/>
    </xf>
    <xf numFmtId="3" fontId="4" fillId="67" borderId="1" xfId="0" applyNumberFormat="1" applyFont="1" applyFill="1" applyBorder="1" applyAlignment="1">
      <alignment horizontal="right" vertical="center"/>
    </xf>
    <xf numFmtId="3" fontId="8" fillId="67" borderId="1" xfId="0" applyNumberFormat="1" applyFont="1" applyFill="1" applyBorder="1" applyAlignment="1">
      <alignment horizontal="right" vertical="center"/>
    </xf>
    <xf numFmtId="0" fontId="45" fillId="0" borderId="0" xfId="0" applyFont="1"/>
    <xf numFmtId="0" fontId="46" fillId="0" borderId="0" xfId="0" applyFont="1"/>
    <xf numFmtId="0" fontId="47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3" fontId="4" fillId="68" borderId="1" xfId="0" applyNumberFormat="1" applyFont="1" applyFill="1" applyBorder="1" applyAlignment="1">
      <alignment vertical="center"/>
    </xf>
    <xf numFmtId="3" fontId="4" fillId="68" borderId="1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>
      <alignment vertical="center"/>
    </xf>
    <xf numFmtId="3" fontId="5" fillId="0" borderId="0" xfId="0" applyNumberFormat="1" applyFont="1"/>
    <xf numFmtId="3" fontId="5" fillId="67" borderId="1" xfId="0" applyNumberFormat="1" applyFont="1" applyFill="1" applyBorder="1" applyAlignment="1">
      <alignment vertical="center"/>
    </xf>
    <xf numFmtId="3" fontId="4" fillId="60" borderId="1" xfId="0" applyNumberFormat="1" applyFont="1" applyFill="1" applyBorder="1" applyAlignment="1">
      <alignment vertical="center"/>
    </xf>
    <xf numFmtId="164" fontId="5" fillId="5" borderId="1" xfId="0" applyNumberFormat="1" applyFont="1" applyFill="1" applyBorder="1" applyAlignment="1">
      <alignment vertical="center"/>
    </xf>
    <xf numFmtId="3" fontId="8" fillId="60" borderId="1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164" fontId="5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3" fontId="8" fillId="67" borderId="1" xfId="0" applyNumberFormat="1" applyFont="1" applyFill="1" applyBorder="1" applyAlignment="1">
      <alignment vertical="center"/>
    </xf>
    <xf numFmtId="164" fontId="5" fillId="14" borderId="1" xfId="0" applyNumberFormat="1" applyFont="1" applyFill="1" applyBorder="1" applyAlignment="1">
      <alignment vertical="center"/>
    </xf>
    <xf numFmtId="0" fontId="0" fillId="0" borderId="0" xfId="0" applyFill="1" applyAlignment="1"/>
    <xf numFmtId="1" fontId="5" fillId="0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vertical="center" wrapText="1" readingOrder="1"/>
    </xf>
    <xf numFmtId="0" fontId="48" fillId="0" borderId="0" xfId="0" applyFont="1" applyAlignment="1">
      <alignment vertical="center" wrapText="1" readingOrder="1"/>
    </xf>
    <xf numFmtId="0" fontId="49" fillId="0" borderId="1" xfId="0" applyFont="1" applyFill="1" applyBorder="1" applyAlignment="1">
      <alignment vertical="center" wrapText="1" readingOrder="1"/>
    </xf>
    <xf numFmtId="164" fontId="49" fillId="0" borderId="1" xfId="0" applyNumberFormat="1" applyFont="1" applyBorder="1" applyAlignment="1">
      <alignment vertical="center" wrapText="1" readingOrder="1"/>
    </xf>
    <xf numFmtId="0" fontId="49" fillId="61" borderId="1" xfId="0" applyFont="1" applyFill="1" applyBorder="1" applyAlignment="1">
      <alignment vertical="center" wrapText="1" readingOrder="1"/>
    </xf>
    <xf numFmtId="164" fontId="49" fillId="61" borderId="1" xfId="0" applyNumberFormat="1" applyFont="1" applyFill="1" applyBorder="1" applyAlignment="1">
      <alignment vertical="center" wrapText="1" readingOrder="1"/>
    </xf>
    <xf numFmtId="3" fontId="49" fillId="67" borderId="1" xfId="0" applyNumberFormat="1" applyFont="1" applyFill="1" applyBorder="1" applyAlignment="1">
      <alignment vertical="center" wrapText="1" readingOrder="1"/>
    </xf>
    <xf numFmtId="3" fontId="50" fillId="67" borderId="1" xfId="0" applyNumberFormat="1" applyFont="1" applyFill="1" applyBorder="1" applyAlignment="1">
      <alignment vertical="center" wrapText="1" readingOrder="1"/>
    </xf>
    <xf numFmtId="0" fontId="49" fillId="0" borderId="1" xfId="0" applyFont="1" applyFill="1" applyBorder="1" applyAlignment="1">
      <alignment horizontal="right" vertical="center" wrapText="1" readingOrder="1"/>
    </xf>
    <xf numFmtId="164" fontId="49" fillId="0" borderId="1" xfId="0" applyNumberFormat="1" applyFont="1" applyFill="1" applyBorder="1" applyAlignment="1">
      <alignment vertical="center" wrapText="1" readingOrder="1"/>
    </xf>
    <xf numFmtId="3" fontId="49" fillId="60" borderId="1" xfId="0" applyNumberFormat="1" applyFont="1" applyFill="1" applyBorder="1" applyAlignment="1">
      <alignment vertical="center" wrapText="1" readingOrder="1"/>
    </xf>
    <xf numFmtId="3" fontId="50" fillId="60" borderId="1" xfId="0" applyNumberFormat="1" applyFont="1" applyFill="1" applyBorder="1" applyAlignment="1">
      <alignment vertical="center" wrapText="1" readingOrder="1"/>
    </xf>
    <xf numFmtId="0" fontId="0" fillId="0" borderId="0" xfId="0" applyAlignment="1">
      <alignment readingOrder="1"/>
    </xf>
    <xf numFmtId="3" fontId="0" fillId="0" borderId="0" xfId="0" applyNumberFormat="1" applyAlignment="1"/>
    <xf numFmtId="0" fontId="49" fillId="0" borderId="1" xfId="0" applyFont="1" applyBorder="1" applyAlignment="1">
      <alignment vertical="center" wrapText="1" readingOrder="1"/>
    </xf>
    <xf numFmtId="0" fontId="6" fillId="9" borderId="1" xfId="0" applyFont="1" applyFill="1" applyBorder="1" applyAlignment="1">
      <alignment horizontal="center" vertical="center" wrapText="1"/>
    </xf>
    <xf numFmtId="3" fontId="49" fillId="0" borderId="1" xfId="0" applyNumberFormat="1" applyFont="1" applyFill="1" applyBorder="1" applyAlignment="1">
      <alignment horizontal="right" vertical="center" wrapText="1" readingOrder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right" vertical="center"/>
    </xf>
    <xf numFmtId="0" fontId="4" fillId="70" borderId="1" xfId="0" applyFont="1" applyFill="1" applyBorder="1" applyAlignment="1">
      <alignment vertical="center" wrapText="1"/>
    </xf>
    <xf numFmtId="1" fontId="5" fillId="7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1" fontId="4" fillId="67" borderId="1" xfId="0" applyNumberFormat="1" applyFont="1" applyFill="1" applyBorder="1" applyAlignment="1">
      <alignment horizontal="center" vertical="center"/>
    </xf>
    <xf numFmtId="0" fontId="4" fillId="67" borderId="1" xfId="0" applyFont="1" applyFill="1" applyBorder="1" applyAlignment="1">
      <alignment vertical="center"/>
    </xf>
    <xf numFmtId="3" fontId="50" fillId="2" borderId="1" xfId="0" applyNumberFormat="1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right" vertical="center" readingOrder="2"/>
    </xf>
    <xf numFmtId="0" fontId="55" fillId="72" borderId="24" xfId="0" applyFont="1" applyFill="1" applyBorder="1" applyAlignment="1">
      <alignment wrapText="1"/>
    </xf>
    <xf numFmtId="0" fontId="54" fillId="71" borderId="24" xfId="0" applyFont="1" applyFill="1" applyBorder="1" applyAlignment="1">
      <alignment wrapText="1"/>
    </xf>
    <xf numFmtId="0" fontId="0" fillId="71" borderId="24" xfId="0" applyFill="1" applyBorder="1" applyAlignment="1">
      <alignment wrapText="1"/>
    </xf>
    <xf numFmtId="0" fontId="52" fillId="73" borderId="24" xfId="0" applyFont="1" applyFill="1" applyBorder="1" applyAlignment="1">
      <alignment horizontal="center" vertical="center" wrapText="1"/>
    </xf>
    <xf numFmtId="0" fontId="0" fillId="0" borderId="26" xfId="0" applyBorder="1"/>
    <xf numFmtId="0" fontId="54" fillId="74" borderId="24" xfId="0" applyFont="1" applyFill="1" applyBorder="1" applyAlignment="1">
      <alignment wrapText="1"/>
    </xf>
    <xf numFmtId="0" fontId="0" fillId="74" borderId="24" xfId="0" applyFill="1" applyBorder="1" applyAlignment="1">
      <alignment wrapText="1"/>
    </xf>
    <xf numFmtId="11" fontId="54" fillId="71" borderId="24" xfId="0" applyNumberFormat="1" applyFont="1" applyFill="1" applyBorder="1" applyAlignment="1">
      <alignment wrapText="1"/>
    </xf>
    <xf numFmtId="0" fontId="52" fillId="0" borderId="24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wrapText="1"/>
    </xf>
    <xf numFmtId="0" fontId="54" fillId="2" borderId="24" xfId="0" applyFont="1" applyFill="1" applyBorder="1" applyAlignment="1">
      <alignment wrapText="1"/>
    </xf>
    <xf numFmtId="166" fontId="54" fillId="71" borderId="24" xfId="0" applyNumberFormat="1" applyFont="1" applyFill="1" applyBorder="1" applyAlignment="1">
      <alignment wrapText="1"/>
    </xf>
    <xf numFmtId="166" fontId="54" fillId="2" borderId="24" xfId="0" applyNumberFormat="1" applyFont="1" applyFill="1" applyBorder="1" applyAlignment="1">
      <alignment wrapText="1"/>
    </xf>
    <xf numFmtId="0" fontId="52" fillId="73" borderId="24" xfId="0" applyFont="1" applyFill="1" applyBorder="1" applyAlignment="1">
      <alignment horizontal="center" vertical="center"/>
    </xf>
    <xf numFmtId="0" fontId="0" fillId="71" borderId="24" xfId="0" applyFill="1" applyBorder="1" applyAlignment="1"/>
    <xf numFmtId="0" fontId="0" fillId="0" borderId="25" xfId="0" applyBorder="1" applyAlignment="1"/>
    <xf numFmtId="0" fontId="0" fillId="74" borderId="24" xfId="0" applyFill="1" applyBorder="1" applyAlignment="1"/>
    <xf numFmtId="0" fontId="54" fillId="74" borderId="24" xfId="0" applyFont="1" applyFill="1" applyBorder="1" applyAlignment="1"/>
    <xf numFmtId="0" fontId="54" fillId="71" borderId="24" xfId="0" applyFont="1" applyFill="1" applyBorder="1" applyAlignment="1"/>
    <xf numFmtId="10" fontId="4" fillId="0" borderId="1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5" fillId="25" borderId="1" xfId="0" applyNumberFormat="1" applyFont="1" applyFill="1" applyBorder="1" applyAlignment="1">
      <alignment vertical="center"/>
    </xf>
    <xf numFmtId="3" fontId="5" fillId="75" borderId="1" xfId="0" applyNumberFormat="1" applyFont="1" applyFill="1" applyBorder="1" applyAlignment="1">
      <alignment horizontal="right" vertical="center"/>
    </xf>
    <xf numFmtId="3" fontId="4" fillId="25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vertical="center" wrapText="1"/>
    </xf>
    <xf numFmtId="1" fontId="5" fillId="0" borderId="1" xfId="0" applyNumberFormat="1" applyFont="1" applyFill="1" applyBorder="1" applyAlignment="1">
      <alignment vertical="center" wrapText="1"/>
    </xf>
    <xf numFmtId="164" fontId="5" fillId="25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right" vertical="center"/>
    </xf>
    <xf numFmtId="3" fontId="4" fillId="25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60" borderId="1" xfId="0" applyFont="1" applyFill="1" applyBorder="1" applyAlignment="1">
      <alignment vertical="center"/>
    </xf>
    <xf numFmtId="0" fontId="6" fillId="25" borderId="1" xfId="0" applyFont="1" applyFill="1" applyBorder="1" applyAlignment="1">
      <alignment vertical="center"/>
    </xf>
    <xf numFmtId="164" fontId="4" fillId="25" borderId="1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9" fillId="2" borderId="1" xfId="0" applyNumberFormat="1" applyFont="1" applyFill="1" applyBorder="1" applyAlignment="1">
      <alignment horizontal="right" vertical="center" wrapText="1" readingOrder="1"/>
    </xf>
    <xf numFmtId="3" fontId="49" fillId="25" borderId="1" xfId="0" applyNumberFormat="1" applyFont="1" applyFill="1" applyBorder="1" applyAlignment="1">
      <alignment vertical="center" wrapText="1" readingOrder="1"/>
    </xf>
    <xf numFmtId="0" fontId="29" fillId="0" borderId="1" xfId="0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3" fontId="49" fillId="75" borderId="1" xfId="0" applyNumberFormat="1" applyFont="1" applyFill="1" applyBorder="1" applyAlignment="1">
      <alignment horizontal="right" vertical="center"/>
    </xf>
    <xf numFmtId="10" fontId="50" fillId="0" borderId="1" xfId="0" applyNumberFormat="1" applyFont="1" applyBorder="1" applyAlignment="1">
      <alignment horizontal="right" vertical="center"/>
    </xf>
    <xf numFmtId="168" fontId="50" fillId="0" borderId="1" xfId="0" applyNumberFormat="1" applyFont="1" applyBorder="1" applyAlignment="1">
      <alignment horizontal="right" vertical="center"/>
    </xf>
    <xf numFmtId="0" fontId="49" fillId="0" borderId="0" xfId="0" applyFont="1" applyAlignment="1">
      <alignment readingOrder="1"/>
    </xf>
    <xf numFmtId="0" fontId="49" fillId="0" borderId="0" xfId="0" applyFont="1" applyAlignment="1">
      <alignment wrapText="1" readingOrder="1"/>
    </xf>
    <xf numFmtId="0" fontId="49" fillId="0" borderId="0" xfId="0" applyFont="1" applyAlignment="1">
      <alignment horizontal="right" vertical="center" wrapText="1" readingOrder="1"/>
    </xf>
    <xf numFmtId="3" fontId="49" fillId="0" borderId="0" xfId="0" applyNumberFormat="1" applyFont="1" applyAlignment="1">
      <alignment readingOrder="1"/>
    </xf>
    <xf numFmtId="0" fontId="56" fillId="0" borderId="1" xfId="0" applyFont="1" applyBorder="1"/>
    <xf numFmtId="0" fontId="56" fillId="0" borderId="0" xfId="0" applyFont="1"/>
    <xf numFmtId="0" fontId="56" fillId="0" borderId="1" xfId="0" applyFont="1" applyFill="1" applyBorder="1"/>
    <xf numFmtId="0" fontId="56" fillId="0" borderId="0" xfId="0" applyFont="1" applyFill="1" applyAlignment="1">
      <alignment wrapText="1"/>
    </xf>
    <xf numFmtId="0" fontId="56" fillId="0" borderId="0" xfId="0" applyFont="1" applyFill="1"/>
    <xf numFmtId="0" fontId="56" fillId="0" borderId="0" xfId="0" applyFont="1" applyAlignment="1">
      <alignment wrapText="1"/>
    </xf>
    <xf numFmtId="0" fontId="56" fillId="0" borderId="1" xfId="0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0" fontId="5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 readingOrder="2"/>
    </xf>
    <xf numFmtId="0" fontId="6" fillId="0" borderId="1" xfId="0" applyFont="1" applyBorder="1" applyAlignment="1">
      <alignment horizontal="center" vertical="center" readingOrder="2"/>
    </xf>
    <xf numFmtId="169" fontId="58" fillId="0" borderId="1" xfId="0" applyNumberFormat="1" applyFont="1" applyBorder="1" applyAlignment="1">
      <alignment vertical="center" wrapText="1"/>
    </xf>
    <xf numFmtId="169" fontId="59" fillId="0" borderId="1" xfId="0" applyNumberFormat="1" applyFont="1" applyBorder="1" applyAlignment="1">
      <alignment vertical="center" wrapText="1"/>
    </xf>
    <xf numFmtId="169" fontId="59" fillId="2" borderId="1" xfId="0" applyNumberFormat="1" applyFont="1" applyFill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169" fontId="61" fillId="0" borderId="1" xfId="0" applyNumberFormat="1" applyFont="1" applyBorder="1" applyAlignment="1">
      <alignment vertical="center" wrapText="1"/>
    </xf>
    <xf numFmtId="0" fontId="53" fillId="0" borderId="1" xfId="0" applyFont="1" applyBorder="1" applyAlignment="1">
      <alignment horizontal="right" vertical="center" wrapText="1" readingOrder="2"/>
    </xf>
    <xf numFmtId="0" fontId="53" fillId="0" borderId="1" xfId="0" applyFont="1" applyBorder="1" applyAlignment="1">
      <alignment vertical="center" wrapText="1" readingOrder="2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vertical="center" wrapText="1" readingOrder="2"/>
    </xf>
    <xf numFmtId="0" fontId="4" fillId="0" borderId="1" xfId="0" applyFont="1" applyBorder="1" applyAlignment="1">
      <alignment horizontal="right" vertical="center" wrapText="1" readingOrder="2"/>
    </xf>
    <xf numFmtId="170" fontId="4" fillId="0" borderId="1" xfId="0" quotePrefix="1" applyNumberFormat="1" applyFont="1" applyBorder="1" applyAlignment="1" applyProtection="1">
      <alignment horizontal="right" vertical="center" wrapText="1" readingOrder="2"/>
      <protection locked="0"/>
    </xf>
    <xf numFmtId="0" fontId="6" fillId="67" borderId="1" xfId="0" applyFont="1" applyFill="1" applyBorder="1" applyAlignment="1">
      <alignment horizontal="right" vertical="center" wrapText="1" readingOrder="2"/>
    </xf>
    <xf numFmtId="0" fontId="6" fillId="67" borderId="1" xfId="0" applyFont="1" applyFill="1" applyBorder="1" applyAlignment="1">
      <alignment vertical="center" wrapText="1" readingOrder="2"/>
    </xf>
    <xf numFmtId="169" fontId="59" fillId="67" borderId="1" xfId="0" applyNumberFormat="1" applyFont="1" applyFill="1" applyBorder="1" applyAlignment="1">
      <alignment vertical="center" wrapText="1"/>
    </xf>
    <xf numFmtId="170" fontId="4" fillId="67" borderId="1" xfId="0" applyNumberFormat="1" applyFont="1" applyFill="1" applyBorder="1" applyAlignment="1" applyProtection="1">
      <alignment horizontal="right" vertical="center" wrapText="1" readingOrder="2"/>
      <protection locked="0"/>
    </xf>
    <xf numFmtId="164" fontId="4" fillId="0" borderId="0" xfId="0" applyNumberFormat="1" applyFont="1" applyAlignment="1">
      <alignment vertical="center" wrapText="1"/>
    </xf>
    <xf numFmtId="164" fontId="4" fillId="0" borderId="1" xfId="0" applyNumberFormat="1" applyFont="1" applyBorder="1" applyAlignment="1">
      <alignment vertical="center" wrapText="1" readingOrder="2"/>
    </xf>
    <xf numFmtId="169" fontId="57" fillId="67" borderId="1" xfId="0" applyNumberFormat="1" applyFont="1" applyFill="1" applyBorder="1" applyAlignment="1">
      <alignment vertical="center" wrapText="1"/>
    </xf>
    <xf numFmtId="169" fontId="59" fillId="0" borderId="0" xfId="0" applyNumberFormat="1" applyFont="1" applyAlignment="1">
      <alignment vertical="center" wrapText="1"/>
    </xf>
    <xf numFmtId="169" fontId="58" fillId="0" borderId="0" xfId="0" applyNumberFormat="1" applyFont="1" applyAlignment="1">
      <alignment vertical="center" wrapText="1"/>
    </xf>
    <xf numFmtId="169" fontId="59" fillId="0" borderId="1" xfId="0" applyNumberFormat="1" applyFont="1" applyBorder="1" applyAlignment="1">
      <alignment vertical="center" wrapText="1" readingOrder="1"/>
    </xf>
    <xf numFmtId="0" fontId="4" fillId="2" borderId="1" xfId="0" applyFont="1" applyFill="1" applyBorder="1" applyAlignment="1">
      <alignment horizontal="right" vertical="center" wrapText="1" readingOrder="2"/>
    </xf>
    <xf numFmtId="171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170" fontId="4" fillId="2" borderId="1" xfId="0" quotePrefix="1" applyNumberFormat="1" applyFont="1" applyFill="1" applyBorder="1" applyAlignment="1" applyProtection="1">
      <alignment horizontal="right" vertical="center" wrapText="1" readingOrder="2"/>
      <protection locked="0"/>
    </xf>
    <xf numFmtId="171" fontId="6" fillId="0" borderId="1" xfId="0" applyNumberFormat="1" applyFont="1" applyBorder="1" applyAlignment="1" applyProtection="1">
      <alignment horizontal="right" vertical="center" wrapText="1"/>
      <protection locked="0"/>
    </xf>
    <xf numFmtId="169" fontId="60" fillId="0" borderId="1" xfId="0" applyNumberFormat="1" applyFont="1" applyBorder="1" applyAlignment="1">
      <alignment vertical="center" wrapText="1"/>
    </xf>
    <xf numFmtId="169" fontId="57" fillId="2" borderId="1" xfId="0" applyNumberFormat="1" applyFont="1" applyFill="1" applyBorder="1" applyAlignment="1">
      <alignment vertical="center" wrapText="1"/>
    </xf>
    <xf numFmtId="169" fontId="57" fillId="0" borderId="1" xfId="0" applyNumberFormat="1" applyFont="1" applyBorder="1" applyAlignment="1">
      <alignment vertical="center" wrapText="1"/>
    </xf>
    <xf numFmtId="0" fontId="6" fillId="7" borderId="29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0" fontId="4" fillId="2" borderId="28" xfId="0" applyFont="1" applyFill="1" applyBorder="1" applyAlignment="1">
      <alignment horizontal="right" vertical="center"/>
    </xf>
    <xf numFmtId="169" fontId="58" fillId="2" borderId="29" xfId="0" applyNumberFormat="1" applyFont="1" applyFill="1" applyBorder="1" applyAlignment="1">
      <alignment vertical="center" wrapText="1"/>
    </xf>
    <xf numFmtId="10" fontId="4" fillId="0" borderId="29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10" fontId="4" fillId="0" borderId="3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9" fontId="59" fillId="0" borderId="0" xfId="0" applyNumberFormat="1" applyFont="1" applyBorder="1" applyAlignment="1">
      <alignment vertical="center" wrapText="1"/>
    </xf>
    <xf numFmtId="169" fontId="57" fillId="0" borderId="1" xfId="0" applyNumberFormat="1" applyFont="1" applyFill="1" applyBorder="1" applyAlignment="1">
      <alignment vertical="center" wrapText="1"/>
    </xf>
    <xf numFmtId="169" fontId="57" fillId="0" borderId="0" xfId="0" applyNumberFormat="1" applyFont="1" applyFill="1" applyBorder="1" applyAlignment="1">
      <alignment vertical="center" wrapText="1"/>
    </xf>
    <xf numFmtId="169" fontId="0" fillId="0" borderId="0" xfId="0" applyNumberFormat="1" applyFill="1"/>
    <xf numFmtId="0" fontId="5" fillId="67" borderId="1" xfId="0" applyFont="1" applyFill="1" applyBorder="1" applyAlignment="1">
      <alignment horizontal="right" vertical="center"/>
    </xf>
    <xf numFmtId="169" fontId="5" fillId="67" borderId="1" xfId="0" applyNumberFormat="1" applyFont="1" applyFill="1" applyBorder="1" applyAlignment="1">
      <alignment horizontal="right" vertical="center"/>
    </xf>
    <xf numFmtId="169" fontId="5" fillId="67" borderId="27" xfId="0" applyNumberFormat="1" applyFont="1" applyFill="1" applyBorder="1" applyAlignment="1">
      <alignment horizontal="right" vertical="center"/>
    </xf>
    <xf numFmtId="169" fontId="59" fillId="67" borderId="27" xfId="0" applyNumberFormat="1" applyFont="1" applyFill="1" applyBorder="1" applyAlignment="1">
      <alignment vertical="center" wrapText="1"/>
    </xf>
    <xf numFmtId="169" fontId="59" fillId="0" borderId="27" xfId="0" applyNumberFormat="1" applyFont="1" applyBorder="1" applyAlignment="1">
      <alignment vertical="center" wrapText="1"/>
    </xf>
    <xf numFmtId="10" fontId="0" fillId="0" borderId="0" xfId="0" applyNumberFormat="1"/>
    <xf numFmtId="3" fontId="4" fillId="0" borderId="1" xfId="0" applyNumberFormat="1" applyFont="1" applyFill="1" applyBorder="1" applyAlignment="1">
      <alignment horizontal="right" vertical="center" wrapText="1" readingOrder="2"/>
    </xf>
    <xf numFmtId="0" fontId="4" fillId="0" borderId="1" xfId="0" applyFont="1" applyFill="1" applyBorder="1" applyAlignment="1">
      <alignment horizontal="right" vertical="center" wrapText="1" readingOrder="2"/>
    </xf>
    <xf numFmtId="0" fontId="62" fillId="76" borderId="1" xfId="0" applyFont="1" applyFill="1" applyBorder="1" applyAlignment="1">
      <alignment horizontal="right" vertical="center" wrapText="1" readingOrder="2"/>
    </xf>
    <xf numFmtId="0" fontId="6" fillId="0" borderId="1" xfId="0" applyFont="1" applyBorder="1" applyAlignment="1">
      <alignment horizontal="center" vertical="center" wrapText="1" readingOrder="2"/>
    </xf>
    <xf numFmtId="164" fontId="56" fillId="0" borderId="0" xfId="0" applyNumberFormat="1" applyFont="1" applyAlignment="1">
      <alignment wrapText="1"/>
    </xf>
    <xf numFmtId="0" fontId="56" fillId="0" borderId="1" xfId="0" applyFont="1" applyBorder="1" applyAlignment="1">
      <alignment wrapText="1"/>
    </xf>
    <xf numFmtId="169" fontId="56" fillId="0" borderId="0" xfId="0" applyNumberFormat="1" applyFont="1" applyAlignment="1">
      <alignment wrapText="1"/>
    </xf>
    <xf numFmtId="169" fontId="56" fillId="0" borderId="0" xfId="0" applyNumberFormat="1" applyFont="1"/>
    <xf numFmtId="172" fontId="4" fillId="0" borderId="1" xfId="0" applyNumberFormat="1" applyFont="1" applyBorder="1" applyAlignment="1">
      <alignment vertical="center" wrapText="1"/>
    </xf>
    <xf numFmtId="164" fontId="49" fillId="0" borderId="0" xfId="0" applyNumberFormat="1" applyFont="1" applyAlignment="1">
      <alignment vertical="center" wrapText="1" readingOrder="1"/>
    </xf>
    <xf numFmtId="168" fontId="50" fillId="77" borderId="1" xfId="0" applyNumberFormat="1" applyFont="1" applyFill="1" applyBorder="1" applyAlignment="1">
      <alignment horizontal="right" vertical="center"/>
    </xf>
    <xf numFmtId="0" fontId="49" fillId="5" borderId="1" xfId="0" applyFont="1" applyFill="1" applyBorder="1" applyAlignment="1">
      <alignment horizontal="center" vertical="center"/>
    </xf>
    <xf numFmtId="0" fontId="49" fillId="5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9" fillId="79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/>
    </xf>
    <xf numFmtId="0" fontId="3" fillId="67" borderId="1" xfId="0" applyFont="1" applyFill="1" applyBorder="1" applyAlignment="1">
      <alignment vertical="center"/>
    </xf>
    <xf numFmtId="0" fontId="3" fillId="60" borderId="1" xfId="0" applyFont="1" applyFill="1" applyBorder="1" applyAlignment="1">
      <alignment horizontal="right" vertical="center"/>
    </xf>
    <xf numFmtId="0" fontId="3" fillId="14" borderId="1" xfId="0" applyFont="1" applyFill="1" applyBorder="1" applyAlignment="1">
      <alignment horizontal="right" vertical="center"/>
    </xf>
    <xf numFmtId="0" fontId="3" fillId="67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51" fillId="60" borderId="1" xfId="0" applyFont="1" applyFill="1" applyBorder="1" applyAlignment="1">
      <alignment vertical="center" wrapText="1" readingOrder="1"/>
    </xf>
    <xf numFmtId="0" fontId="51" fillId="67" borderId="1" xfId="0" applyFont="1" applyFill="1" applyBorder="1" applyAlignment="1">
      <alignment vertical="center" wrapText="1" readingOrder="1"/>
    </xf>
    <xf numFmtId="0" fontId="50" fillId="2" borderId="1" xfId="0" applyFont="1" applyFill="1" applyBorder="1" applyAlignment="1">
      <alignment horizontal="right" vertical="center" wrapText="1" readingOrder="2"/>
    </xf>
    <xf numFmtId="0" fontId="51" fillId="7" borderId="1" xfId="0" applyFont="1" applyFill="1" applyBorder="1" applyAlignment="1">
      <alignment horizontal="center" vertical="center" wrapText="1" readingOrder="1"/>
    </xf>
    <xf numFmtId="9" fontId="50" fillId="0" borderId="1" xfId="0" applyNumberFormat="1" applyFont="1" applyFill="1" applyBorder="1" applyAlignment="1">
      <alignment horizontal="center" vertical="center" wrapText="1" readingOrder="1"/>
    </xf>
    <xf numFmtId="0" fontId="50" fillId="2" borderId="1" xfId="0" applyFont="1" applyFill="1" applyBorder="1" applyAlignment="1">
      <alignment horizontal="right" vertical="center" readingOrder="1"/>
    </xf>
    <xf numFmtId="0" fontId="50" fillId="0" borderId="1" xfId="0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 readingOrder="2"/>
    </xf>
    <xf numFmtId="0" fontId="29" fillId="0" borderId="1" xfId="0" applyFont="1" applyFill="1" applyBorder="1" applyAlignment="1">
      <alignment horizontal="center" vertical="center" wrapText="1" readingOrder="1"/>
    </xf>
    <xf numFmtId="0" fontId="49" fillId="67" borderId="1" xfId="0" applyFont="1" applyFill="1" applyBorder="1" applyAlignment="1">
      <alignment vertical="center" wrapText="1" readingOrder="1"/>
    </xf>
    <xf numFmtId="0" fontId="50" fillId="67" borderId="1" xfId="0" applyFont="1" applyFill="1" applyBorder="1" applyAlignment="1">
      <alignment vertical="center" wrapText="1" readingOrder="1"/>
    </xf>
    <xf numFmtId="0" fontId="51" fillId="0" borderId="1" xfId="0" applyFont="1" applyBorder="1" applyAlignment="1">
      <alignment horizontal="center" vertical="center" wrapText="1" readingOrder="1"/>
    </xf>
    <xf numFmtId="0" fontId="49" fillId="0" borderId="1" xfId="0" applyFont="1" applyBorder="1" applyAlignment="1">
      <alignment horizontal="center" vertical="center" wrapText="1" readingOrder="1"/>
    </xf>
    <xf numFmtId="0" fontId="51" fillId="25" borderId="1" xfId="0" applyFont="1" applyFill="1" applyBorder="1" applyAlignment="1">
      <alignment vertical="center" wrapText="1" readingOrder="1"/>
    </xf>
    <xf numFmtId="9" fontId="50" fillId="0" borderId="1" xfId="0" applyNumberFormat="1" applyFont="1" applyFill="1" applyBorder="1" applyAlignment="1">
      <alignment vertical="center" wrapText="1" readingOrder="1"/>
    </xf>
    <xf numFmtId="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59" borderId="1" xfId="0" applyFont="1" applyFill="1" applyBorder="1" applyAlignment="1">
      <alignment horizontal="right" vertical="center"/>
    </xf>
    <xf numFmtId="0" fontId="6" fillId="1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25" borderId="1" xfId="0" applyFont="1" applyFill="1" applyBorder="1" applyAlignment="1">
      <alignment horizontal="right" vertical="center"/>
    </xf>
    <xf numFmtId="0" fontId="3" fillId="67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right" vertical="center"/>
    </xf>
    <xf numFmtId="0" fontId="7" fillId="60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right" vertical="center"/>
    </xf>
    <xf numFmtId="0" fontId="7" fillId="67" borderId="1" xfId="0" applyFont="1" applyFill="1" applyBorder="1" applyAlignment="1">
      <alignment horizontal="right" vertical="center"/>
    </xf>
    <xf numFmtId="0" fontId="7" fillId="14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readingOrder="2"/>
    </xf>
    <xf numFmtId="0" fontId="6" fillId="7" borderId="1" xfId="0" applyFont="1" applyFill="1" applyBorder="1" applyAlignment="1">
      <alignment horizontal="center" vertical="center"/>
    </xf>
    <xf numFmtId="0" fontId="3" fillId="67" borderId="1" xfId="0" applyFont="1" applyFill="1" applyBorder="1" applyAlignment="1">
      <alignment horizontal="right" vertical="center"/>
    </xf>
    <xf numFmtId="0" fontId="3" fillId="14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vertical="center"/>
    </xf>
    <xf numFmtId="0" fontId="3" fillId="60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6" fillId="16" borderId="1" xfId="0" applyFont="1" applyFill="1" applyBorder="1" applyAlignment="1">
      <alignment horizontal="right" vertical="center"/>
    </xf>
    <xf numFmtId="0" fontId="6" fillId="11" borderId="1" xfId="0" applyFont="1" applyFill="1" applyBorder="1" applyAlignment="1">
      <alignment horizontal="right" vertical="center"/>
    </xf>
    <xf numFmtId="0" fontId="3" fillId="25" borderId="1" xfId="0" applyFont="1" applyFill="1" applyBorder="1" applyAlignment="1">
      <alignment horizontal="right" vertical="center"/>
    </xf>
    <xf numFmtId="0" fontId="6" fillId="60" borderId="1" xfId="0" applyFont="1" applyFill="1" applyBorder="1" applyAlignment="1">
      <alignment horizontal="right" vertical="center"/>
    </xf>
    <xf numFmtId="0" fontId="6" fillId="69" borderId="1" xfId="0" applyFont="1" applyFill="1" applyBorder="1" applyAlignment="1">
      <alignment horizontal="right" vertical="center"/>
    </xf>
    <xf numFmtId="0" fontId="6" fillId="14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3" fillId="5" borderId="1" xfId="0" applyNumberFormat="1" applyFont="1" applyFill="1" applyBorder="1" applyAlignment="1">
      <alignment horizontal="right" vertical="center"/>
    </xf>
    <xf numFmtId="0" fontId="6" fillId="67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6" fillId="13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  <xf numFmtId="0" fontId="6" fillId="11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57" fillId="0" borderId="1" xfId="0" applyFont="1" applyFill="1" applyBorder="1" applyAlignment="1">
      <alignment horizontal="center" vertical="center" textRotation="135" wrapText="1"/>
    </xf>
    <xf numFmtId="0" fontId="6" fillId="16" borderId="1" xfId="0" applyFont="1" applyFill="1" applyBorder="1" applyAlignment="1">
      <alignment horizontal="right" vertical="center" readingOrder="2"/>
    </xf>
    <xf numFmtId="0" fontId="4" fillId="0" borderId="1" xfId="0" applyFont="1" applyBorder="1" applyAlignment="1">
      <alignment horizontal="right" vertical="center"/>
    </xf>
    <xf numFmtId="0" fontId="6" fillId="68" borderId="1" xfId="0" applyFont="1" applyFill="1" applyBorder="1" applyAlignment="1">
      <alignment horizontal="center" vertical="center"/>
    </xf>
    <xf numFmtId="0" fontId="6" fillId="69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68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135" wrapText="1"/>
    </xf>
    <xf numFmtId="0" fontId="3" fillId="0" borderId="1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right" vertical="center"/>
    </xf>
    <xf numFmtId="0" fontId="6" fillId="19" borderId="1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/>
    </xf>
    <xf numFmtId="164" fontId="3" fillId="12" borderId="1" xfId="0" applyNumberFormat="1" applyFont="1" applyFill="1" applyBorder="1" applyAlignment="1">
      <alignment horizontal="right" vertical="center"/>
    </xf>
    <xf numFmtId="0" fontId="6" fillId="20" borderId="1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/>
    </xf>
    <xf numFmtId="0" fontId="6" fillId="21" borderId="1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0" fontId="6" fillId="23" borderId="1" xfId="0" applyFont="1" applyFill="1" applyBorder="1" applyAlignment="1">
      <alignment horizontal="center" vertical="center" wrapText="1"/>
    </xf>
    <xf numFmtId="0" fontId="3" fillId="23" borderId="1" xfId="0" applyFont="1" applyFill="1" applyBorder="1" applyAlignment="1">
      <alignment horizontal="center" vertical="center"/>
    </xf>
    <xf numFmtId="0" fontId="6" fillId="22" borderId="1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/>
    </xf>
    <xf numFmtId="0" fontId="6" fillId="24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19" borderId="22" xfId="0" applyFont="1" applyFill="1" applyBorder="1" applyAlignment="1">
      <alignment horizontal="center" vertical="center" wrapText="1"/>
    </xf>
    <xf numFmtId="0" fontId="6" fillId="19" borderId="23" xfId="0" applyFont="1" applyFill="1" applyBorder="1" applyAlignment="1">
      <alignment horizontal="center" vertical="center" wrapText="1"/>
    </xf>
    <xf numFmtId="0" fontId="6" fillId="19" borderId="19" xfId="0" applyFont="1" applyFill="1" applyBorder="1" applyAlignment="1">
      <alignment horizontal="center" vertical="center" wrapText="1"/>
    </xf>
    <xf numFmtId="0" fontId="6" fillId="65" borderId="22" xfId="0" applyFont="1" applyFill="1" applyBorder="1" applyAlignment="1">
      <alignment horizontal="center" vertical="center" wrapText="1"/>
    </xf>
    <xf numFmtId="0" fontId="6" fillId="65" borderId="23" xfId="0" applyFont="1" applyFill="1" applyBorder="1" applyAlignment="1">
      <alignment horizontal="center" vertical="center" wrapText="1"/>
    </xf>
    <xf numFmtId="0" fontId="6" fillId="65" borderId="19" xfId="0" applyFont="1" applyFill="1" applyBorder="1" applyAlignment="1">
      <alignment horizontal="center" vertical="center" wrapText="1"/>
    </xf>
    <xf numFmtId="0" fontId="3" fillId="65" borderId="22" xfId="0" applyFont="1" applyFill="1" applyBorder="1" applyAlignment="1">
      <alignment horizontal="center" vertical="center"/>
    </xf>
    <xf numFmtId="0" fontId="3" fillId="65" borderId="23" xfId="0" applyFont="1" applyFill="1" applyBorder="1" applyAlignment="1">
      <alignment horizontal="center" vertical="center"/>
    </xf>
    <xf numFmtId="0" fontId="3" fillId="65" borderId="19" xfId="0" applyFont="1" applyFill="1" applyBorder="1" applyAlignment="1">
      <alignment horizontal="center" vertical="center"/>
    </xf>
    <xf numFmtId="0" fontId="3" fillId="66" borderId="1" xfId="0" applyFont="1" applyFill="1" applyBorder="1" applyAlignment="1">
      <alignment horizontal="right" vertical="center"/>
    </xf>
    <xf numFmtId="0" fontId="6" fillId="26" borderId="1" xfId="0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5" borderId="1" xfId="0" applyFont="1" applyFill="1" applyBorder="1" applyAlignment="1">
      <alignment horizontal="center" vertical="center"/>
    </xf>
    <xf numFmtId="164" fontId="3" fillId="64" borderId="1" xfId="0" applyNumberFormat="1" applyFont="1" applyFill="1" applyBorder="1" applyAlignment="1">
      <alignment horizontal="right" vertical="center"/>
    </xf>
    <xf numFmtId="0" fontId="3" fillId="62" borderId="1" xfId="0" applyFont="1" applyFill="1" applyBorder="1" applyAlignment="1">
      <alignment horizontal="right" vertical="center"/>
    </xf>
    <xf numFmtId="164" fontId="3" fillId="63" borderId="1" xfId="0" applyNumberFormat="1" applyFont="1" applyFill="1" applyBorder="1" applyAlignment="1">
      <alignment horizontal="right" vertical="center"/>
    </xf>
    <xf numFmtId="164" fontId="6" fillId="67" borderId="1" xfId="0" applyNumberFormat="1" applyFont="1" applyFill="1" applyBorder="1" applyAlignment="1">
      <alignment horizontal="right" vertical="center"/>
    </xf>
    <xf numFmtId="164" fontId="3" fillId="21" borderId="1" xfId="0" applyNumberFormat="1" applyFont="1" applyFill="1" applyBorder="1" applyAlignment="1">
      <alignment horizontal="right" vertical="center"/>
    </xf>
    <xf numFmtId="0" fontId="6" fillId="14" borderId="22" xfId="0" applyFont="1" applyFill="1" applyBorder="1" applyAlignment="1">
      <alignment horizontal="center" vertical="center" wrapText="1"/>
    </xf>
    <xf numFmtId="0" fontId="6" fillId="14" borderId="23" xfId="0" applyFont="1" applyFill="1" applyBorder="1" applyAlignment="1">
      <alignment horizontal="center" vertical="center" wrapText="1"/>
    </xf>
    <xf numFmtId="0" fontId="3" fillId="14" borderId="22" xfId="0" applyFont="1" applyFill="1" applyBorder="1" applyAlignment="1">
      <alignment horizontal="center" vertical="center"/>
    </xf>
    <xf numFmtId="0" fontId="3" fillId="14" borderId="23" xfId="0" applyFont="1" applyFill="1" applyBorder="1" applyAlignment="1">
      <alignment horizontal="center" vertical="center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center" wrapText="1"/>
    </xf>
    <xf numFmtId="0" fontId="6" fillId="21" borderId="19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10" fontId="4" fillId="0" borderId="20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0" fontId="4" fillId="0" borderId="2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164" fontId="3" fillId="12" borderId="20" xfId="0" applyNumberFormat="1" applyFont="1" applyFill="1" applyBorder="1" applyAlignment="1">
      <alignment horizontal="right" vertical="center"/>
    </xf>
    <xf numFmtId="164" fontId="3" fillId="12" borderId="27" xfId="0" applyNumberFormat="1" applyFont="1" applyFill="1" applyBorder="1" applyAlignment="1">
      <alignment horizontal="right" vertical="center"/>
    </xf>
    <xf numFmtId="0" fontId="6" fillId="65" borderId="1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 readingOrder="2"/>
    </xf>
    <xf numFmtId="0" fontId="29" fillId="0" borderId="29" xfId="0" applyFont="1" applyBorder="1" applyAlignment="1">
      <alignment horizontal="center" vertical="center" wrapText="1" readingOrder="2"/>
    </xf>
    <xf numFmtId="0" fontId="53" fillId="0" borderId="28" xfId="0" applyFont="1" applyBorder="1" applyAlignment="1">
      <alignment horizontal="right" vertical="center"/>
    </xf>
    <xf numFmtId="0" fontId="53" fillId="0" borderId="29" xfId="0" applyFont="1" applyBorder="1" applyAlignment="1">
      <alignment horizontal="right" vertical="center"/>
    </xf>
    <xf numFmtId="0" fontId="63" fillId="0" borderId="0" xfId="0" applyFont="1" applyAlignment="1">
      <alignment horizontal="right" vertical="center" readingOrder="2"/>
    </xf>
    <xf numFmtId="0" fontId="4" fillId="78" borderId="1" xfId="0" applyFont="1" applyFill="1" applyBorder="1" applyAlignment="1">
      <alignment horizontal="center" vertical="center" wrapText="1" readingOrder="2"/>
    </xf>
    <xf numFmtId="16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 readingOrder="2"/>
    </xf>
    <xf numFmtId="0" fontId="6" fillId="7" borderId="1" xfId="0" applyFont="1" applyFill="1" applyBorder="1" applyAlignment="1">
      <alignment horizontal="center" vertical="center" wrapText="1" readingOrder="1"/>
    </xf>
    <xf numFmtId="169" fontId="6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2"/>
    </xf>
    <xf numFmtId="169" fontId="58" fillId="0" borderId="22" xfId="0" applyNumberFormat="1" applyFont="1" applyBorder="1" applyAlignment="1">
      <alignment horizontal="right" vertical="center" wrapText="1" readingOrder="1"/>
    </xf>
    <xf numFmtId="169" fontId="58" fillId="0" borderId="19" xfId="0" applyNumberFormat="1" applyFont="1" applyBorder="1" applyAlignment="1">
      <alignment horizontal="right" vertical="center" wrapText="1" readingOrder="1"/>
    </xf>
    <xf numFmtId="164" fontId="4" fillId="0" borderId="1" xfId="0" applyNumberFormat="1" applyFont="1" applyBorder="1" applyAlignment="1">
      <alignment horizontal="center" vertical="center" wrapText="1"/>
    </xf>
    <xf numFmtId="169" fontId="59" fillId="0" borderId="22" xfId="0" applyNumberFormat="1" applyFont="1" applyBorder="1" applyAlignment="1">
      <alignment horizontal="right" vertical="center" wrapText="1" readingOrder="1"/>
    </xf>
    <xf numFmtId="169" fontId="59" fillId="0" borderId="23" xfId="0" applyNumberFormat="1" applyFont="1" applyBorder="1" applyAlignment="1">
      <alignment horizontal="right" vertical="center" wrapText="1" readingOrder="1"/>
    </xf>
    <xf numFmtId="169" fontId="59" fillId="0" borderId="19" xfId="0" applyNumberFormat="1" applyFont="1" applyBorder="1" applyAlignment="1">
      <alignment horizontal="right" vertical="center" wrapText="1" readingOrder="1"/>
    </xf>
    <xf numFmtId="0" fontId="4" fillId="77" borderId="34" xfId="0" applyFont="1" applyFill="1" applyBorder="1" applyAlignment="1">
      <alignment horizontal="center" vertical="center" wrapText="1" readingOrder="2"/>
    </xf>
    <xf numFmtId="0" fontId="4" fillId="77" borderId="35" xfId="0" applyFont="1" applyFill="1" applyBorder="1" applyAlignment="1">
      <alignment horizontal="center" vertical="center" wrapText="1" readingOrder="2"/>
    </xf>
    <xf numFmtId="0" fontId="4" fillId="77" borderId="36" xfId="0" applyFont="1" applyFill="1" applyBorder="1" applyAlignment="1">
      <alignment horizontal="center" vertical="center" wrapText="1" readingOrder="2"/>
    </xf>
    <xf numFmtId="0" fontId="4" fillId="77" borderId="37" xfId="0" applyFont="1" applyFill="1" applyBorder="1" applyAlignment="1">
      <alignment horizontal="center" vertical="center" wrapText="1" readingOrder="2"/>
    </xf>
    <xf numFmtId="0" fontId="4" fillId="77" borderId="38" xfId="0" applyFont="1" applyFill="1" applyBorder="1" applyAlignment="1">
      <alignment horizontal="center" vertical="center" wrapText="1" readingOrder="2"/>
    </xf>
    <xf numFmtId="0" fontId="4" fillId="77" borderId="39" xfId="0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right" vertical="center"/>
    </xf>
    <xf numFmtId="0" fontId="29" fillId="0" borderId="1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05">
    <cellStyle name="20% - Accent1" xfId="19" builtinId="30" customBuiltin="1"/>
    <cellStyle name="20% - Accent1 2" xfId="62" xr:uid="{00000000-0005-0000-0000-000001000000}"/>
    <cellStyle name="20% - Accent1 3" xfId="87" xr:uid="{00000000-0005-0000-0000-000002000000}"/>
    <cellStyle name="20% - Accent2" xfId="23" builtinId="34" customBuiltin="1"/>
    <cellStyle name="20% - Accent2 2" xfId="66" xr:uid="{00000000-0005-0000-0000-000004000000}"/>
    <cellStyle name="20% - Accent2 3" xfId="90" xr:uid="{00000000-0005-0000-0000-000005000000}"/>
    <cellStyle name="20% - Accent3" xfId="27" builtinId="38" customBuiltin="1"/>
    <cellStyle name="20% - Accent3 2" xfId="70" xr:uid="{00000000-0005-0000-0000-000007000000}"/>
    <cellStyle name="20% - Accent3 3" xfId="93" xr:uid="{00000000-0005-0000-0000-000008000000}"/>
    <cellStyle name="20% - Accent4" xfId="31" builtinId="42" customBuiltin="1"/>
    <cellStyle name="20% - Accent4 2" xfId="74" xr:uid="{00000000-0005-0000-0000-00000A000000}"/>
    <cellStyle name="20% - Accent4 3" xfId="96" xr:uid="{00000000-0005-0000-0000-00000B000000}"/>
    <cellStyle name="20% - Accent5" xfId="35" builtinId="46" customBuiltin="1"/>
    <cellStyle name="20% - Accent5 2" xfId="78" xr:uid="{00000000-0005-0000-0000-00000D000000}"/>
    <cellStyle name="20% - Accent5 3" xfId="99" xr:uid="{00000000-0005-0000-0000-00000E000000}"/>
    <cellStyle name="20% - Accent6" xfId="39" builtinId="50" customBuiltin="1"/>
    <cellStyle name="20% - Accent6 2" xfId="82" xr:uid="{00000000-0005-0000-0000-000010000000}"/>
    <cellStyle name="20% - Accent6 3" xfId="102" xr:uid="{00000000-0005-0000-0000-000011000000}"/>
    <cellStyle name="40% - Accent1" xfId="20" builtinId="31" customBuiltin="1"/>
    <cellStyle name="40% - Accent1 2" xfId="63" xr:uid="{00000000-0005-0000-0000-000013000000}"/>
    <cellStyle name="40% - Accent1 3" xfId="88" xr:uid="{00000000-0005-0000-0000-000014000000}"/>
    <cellStyle name="40% - Accent2" xfId="24" builtinId="35" customBuiltin="1"/>
    <cellStyle name="40% - Accent2 2" xfId="67" xr:uid="{00000000-0005-0000-0000-000016000000}"/>
    <cellStyle name="40% - Accent2 3" xfId="91" xr:uid="{00000000-0005-0000-0000-000017000000}"/>
    <cellStyle name="40% - Accent3" xfId="28" builtinId="39" customBuiltin="1"/>
    <cellStyle name="40% - Accent3 2" xfId="71" xr:uid="{00000000-0005-0000-0000-000019000000}"/>
    <cellStyle name="40% - Accent3 3" xfId="94" xr:uid="{00000000-0005-0000-0000-00001A000000}"/>
    <cellStyle name="40% - Accent4" xfId="32" builtinId="43" customBuiltin="1"/>
    <cellStyle name="40% - Accent4 2" xfId="75" xr:uid="{00000000-0005-0000-0000-00001C000000}"/>
    <cellStyle name="40% - Accent4 3" xfId="97" xr:uid="{00000000-0005-0000-0000-00001D000000}"/>
    <cellStyle name="40% - Accent5" xfId="36" builtinId="47" customBuiltin="1"/>
    <cellStyle name="40% - Accent5 2" xfId="79" xr:uid="{00000000-0005-0000-0000-00001F000000}"/>
    <cellStyle name="40% - Accent5 3" xfId="100" xr:uid="{00000000-0005-0000-0000-000020000000}"/>
    <cellStyle name="40% - Accent6" xfId="40" builtinId="51" customBuiltin="1"/>
    <cellStyle name="40% - Accent6 2" xfId="83" xr:uid="{00000000-0005-0000-0000-000022000000}"/>
    <cellStyle name="40% - Accent6 3" xfId="103" xr:uid="{00000000-0005-0000-0000-000023000000}"/>
    <cellStyle name="60% - Accent1" xfId="21" builtinId="32" customBuiltin="1"/>
    <cellStyle name="60% - Accent1 2" xfId="64" xr:uid="{00000000-0005-0000-0000-000025000000}"/>
    <cellStyle name="60% - Accent1 3" xfId="89" xr:uid="{00000000-0005-0000-0000-000026000000}"/>
    <cellStyle name="60% - Accent2" xfId="25" builtinId="36" customBuiltin="1"/>
    <cellStyle name="60% - Accent2 2" xfId="68" xr:uid="{00000000-0005-0000-0000-000028000000}"/>
    <cellStyle name="60% - Accent2 3" xfId="92" xr:uid="{00000000-0005-0000-0000-000029000000}"/>
    <cellStyle name="60% - Accent3" xfId="29" builtinId="40" customBuiltin="1"/>
    <cellStyle name="60% - Accent3 2" xfId="72" xr:uid="{00000000-0005-0000-0000-00002B000000}"/>
    <cellStyle name="60% - Accent3 3" xfId="95" xr:uid="{00000000-0005-0000-0000-00002C000000}"/>
    <cellStyle name="60% - Accent4" xfId="33" builtinId="44" customBuiltin="1"/>
    <cellStyle name="60% - Accent4 2" xfId="76" xr:uid="{00000000-0005-0000-0000-00002E000000}"/>
    <cellStyle name="60% - Accent4 3" xfId="98" xr:uid="{00000000-0005-0000-0000-00002F000000}"/>
    <cellStyle name="60% - Accent5" xfId="37" builtinId="48" customBuiltin="1"/>
    <cellStyle name="60% - Accent5 2" xfId="80" xr:uid="{00000000-0005-0000-0000-000031000000}"/>
    <cellStyle name="60% - Accent5 3" xfId="101" xr:uid="{00000000-0005-0000-0000-000032000000}"/>
    <cellStyle name="60% - Accent6" xfId="41" builtinId="52" customBuiltin="1"/>
    <cellStyle name="60% - Accent6 2" xfId="84" xr:uid="{00000000-0005-0000-0000-000034000000}"/>
    <cellStyle name="60% - Accent6 3" xfId="104" xr:uid="{00000000-0005-0000-0000-000035000000}"/>
    <cellStyle name="Accent1" xfId="18" builtinId="29" customBuiltin="1"/>
    <cellStyle name="Accent1 2" xfId="61" xr:uid="{00000000-0005-0000-0000-000037000000}"/>
    <cellStyle name="Accent2" xfId="22" builtinId="33" customBuiltin="1"/>
    <cellStyle name="Accent2 2" xfId="65" xr:uid="{00000000-0005-0000-0000-000039000000}"/>
    <cellStyle name="Accent3" xfId="26" builtinId="37" customBuiltin="1"/>
    <cellStyle name="Accent3 2" xfId="69" xr:uid="{00000000-0005-0000-0000-00003B000000}"/>
    <cellStyle name="Accent4" xfId="30" builtinId="41" customBuiltin="1"/>
    <cellStyle name="Accent4 2" xfId="73" xr:uid="{00000000-0005-0000-0000-00003D000000}"/>
    <cellStyle name="Accent5" xfId="34" builtinId="45" customBuiltin="1"/>
    <cellStyle name="Accent5 2" xfId="77" xr:uid="{00000000-0005-0000-0000-00003F000000}"/>
    <cellStyle name="Accent6" xfId="38" builtinId="49" customBuiltin="1"/>
    <cellStyle name="Accent6 2" xfId="81" xr:uid="{00000000-0005-0000-0000-000041000000}"/>
    <cellStyle name="Bad" xfId="7" builtinId="27" customBuiltin="1"/>
    <cellStyle name="Bad 2" xfId="50" xr:uid="{00000000-0005-0000-0000-000043000000}"/>
    <cellStyle name="Calculation" xfId="11" builtinId="22" customBuiltin="1"/>
    <cellStyle name="Calculation 2" xfId="54" xr:uid="{00000000-0005-0000-0000-000045000000}"/>
    <cellStyle name="Check Cell" xfId="13" builtinId="23" customBuiltin="1"/>
    <cellStyle name="Check Cell 2" xfId="56" xr:uid="{00000000-0005-0000-0000-000047000000}"/>
    <cellStyle name="Explanatory Text" xfId="16" builtinId="53" customBuiltin="1"/>
    <cellStyle name="Explanatory Text 2" xfId="59" xr:uid="{00000000-0005-0000-0000-000049000000}"/>
    <cellStyle name="Good" xfId="6" builtinId="26" customBuiltin="1"/>
    <cellStyle name="Good 2" xfId="49" xr:uid="{00000000-0005-0000-0000-00004B000000}"/>
    <cellStyle name="Heading 1" xfId="2" builtinId="16" customBuiltin="1"/>
    <cellStyle name="Heading 1 2" xfId="45" xr:uid="{00000000-0005-0000-0000-00004D000000}"/>
    <cellStyle name="Heading 2" xfId="3" builtinId="17" customBuiltin="1"/>
    <cellStyle name="Heading 2 2" xfId="46" xr:uid="{00000000-0005-0000-0000-00004F000000}"/>
    <cellStyle name="Heading 3" xfId="4" builtinId="18" customBuiltin="1"/>
    <cellStyle name="Heading 3 2" xfId="47" xr:uid="{00000000-0005-0000-0000-000051000000}"/>
    <cellStyle name="Heading 4" xfId="5" builtinId="19" customBuiltin="1"/>
    <cellStyle name="Heading 4 2" xfId="48" xr:uid="{00000000-0005-0000-0000-000053000000}"/>
    <cellStyle name="Input" xfId="9" builtinId="20" customBuiltin="1"/>
    <cellStyle name="Input 2" xfId="52" xr:uid="{00000000-0005-0000-0000-000055000000}"/>
    <cellStyle name="Linked Cell" xfId="12" builtinId="24" customBuiltin="1"/>
    <cellStyle name="Linked Cell 2" xfId="55" xr:uid="{00000000-0005-0000-0000-000057000000}"/>
    <cellStyle name="Neutral" xfId="8" builtinId="28" customBuiltin="1"/>
    <cellStyle name="Neutral 2" xfId="51" xr:uid="{00000000-0005-0000-0000-000059000000}"/>
    <cellStyle name="Normal" xfId="0" builtinId="0"/>
    <cellStyle name="Normal 2" xfId="42" xr:uid="{00000000-0005-0000-0000-00005B000000}"/>
    <cellStyle name="Normal 3" xfId="43" xr:uid="{00000000-0005-0000-0000-00005C000000}"/>
    <cellStyle name="Normal 4" xfId="85" xr:uid="{00000000-0005-0000-0000-00005D000000}"/>
    <cellStyle name="Note" xfId="15" builtinId="10" customBuiltin="1"/>
    <cellStyle name="Note 2" xfId="58" xr:uid="{00000000-0005-0000-0000-00005F000000}"/>
    <cellStyle name="Note 3" xfId="86" xr:uid="{00000000-0005-0000-0000-000060000000}"/>
    <cellStyle name="Output" xfId="10" builtinId="21" customBuiltin="1"/>
    <cellStyle name="Output 2" xfId="53" xr:uid="{00000000-0005-0000-0000-000062000000}"/>
    <cellStyle name="Title" xfId="1" builtinId="15" customBuiltin="1"/>
    <cellStyle name="Title 2" xfId="44" xr:uid="{00000000-0005-0000-0000-000064000000}"/>
    <cellStyle name="Total" xfId="17" builtinId="25" customBuiltin="1"/>
    <cellStyle name="Total 2" xfId="60" xr:uid="{00000000-0005-0000-0000-000066000000}"/>
    <cellStyle name="Warning Text" xfId="14" builtinId="11" customBuiltin="1"/>
    <cellStyle name="Warning Text 2" xfId="57" xr:uid="{00000000-0005-0000-0000-000068000000}"/>
  </cellStyles>
  <dxfs count="40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FF99FF"/>
      <color rgb="FF00FF99"/>
      <color rgb="FFFF0066"/>
      <color rgb="FF33CCFF"/>
      <color rgb="FFFF7C80"/>
      <color rgb="FF0000CC"/>
      <color rgb="FFFFCCFF"/>
      <color rgb="FF66FF66"/>
      <color rgb="FF00CC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606;-&#1605;&#1608;&#1575;&#1583;'!A1"/><Relationship Id="rId3" Type="http://schemas.openxmlformats.org/officeDocument/2006/relationships/hyperlink" Target="#'&#1606;-&#1576;&#1575;&#1576;'!A1"/><Relationship Id="rId7" Type="http://schemas.openxmlformats.org/officeDocument/2006/relationships/hyperlink" Target="#'&#1606;-&#1601;&#1589;&#1604;'!A1"/><Relationship Id="rId2" Type="http://schemas.openxmlformats.org/officeDocument/2006/relationships/hyperlink" Target="#'&#1585;-&#1576;&#1575;&#1576;'!A1"/><Relationship Id="rId1" Type="http://schemas.openxmlformats.org/officeDocument/2006/relationships/hyperlink" Target="#&#1582;&#1604;&#1575;&#1589;&#1577;!A1"/><Relationship Id="rId6" Type="http://schemas.openxmlformats.org/officeDocument/2006/relationships/hyperlink" Target="#'&#1585;-&#1601;&#1585;&#1593;&#1610;'!A1"/><Relationship Id="rId11" Type="http://schemas.openxmlformats.org/officeDocument/2006/relationships/image" Target="../media/image1.png"/><Relationship Id="rId5" Type="http://schemas.openxmlformats.org/officeDocument/2006/relationships/hyperlink" Target="#'&#1585;-&#1605;&#1608;&#1575;&#1583;'!A1"/><Relationship Id="rId10" Type="http://schemas.openxmlformats.org/officeDocument/2006/relationships/hyperlink" Target="#' &#1580;&#1607;&#1575;&#1578;'!A1"/><Relationship Id="rId4" Type="http://schemas.openxmlformats.org/officeDocument/2006/relationships/hyperlink" Target="#'&#1585;-&#1601;&#1589;&#1604;'!A1"/><Relationship Id="rId9" Type="http://schemas.openxmlformats.org/officeDocument/2006/relationships/hyperlink" Target="#'&#1606;-&#1601;&#1585;&#1593;&#1610;'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666751</xdr:colOff>
      <xdr:row>1</xdr:row>
      <xdr:rowOff>57150</xdr:rowOff>
    </xdr:from>
    <xdr:to>
      <xdr:col>17</xdr:col>
      <xdr:colOff>657225</xdr:colOff>
      <xdr:row>5</xdr:row>
      <xdr:rowOff>133349</xdr:rowOff>
    </xdr:to>
    <xdr:sp macro="" textlink="">
      <xdr:nvSpPr>
        <xdr:cNvPr id="2" name="Beve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85975" y="238125"/>
          <a:ext cx="7534274" cy="80009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3200">
              <a:solidFill>
                <a:schemeClr val="tx1"/>
              </a:solidFill>
              <a:effectLst>
                <a:glow rad="228600">
                  <a:schemeClr val="accent4">
                    <a:satMod val="175000"/>
                    <a:alpha val="40000"/>
                  </a:schemeClr>
                </a:glow>
              </a:effectLst>
              <a:latin typeface="Andalus" panose="02020603050405020304" pitchFamily="18" charset="-78"/>
              <a:cs typeface="Andalus" panose="02020603050405020304" pitchFamily="18" charset="-78"/>
            </a:rPr>
            <a:t>الحساب الختامي للسنة المالية المنتهية 2020</a:t>
          </a:r>
        </a:p>
      </xdr:txBody>
    </xdr:sp>
    <xdr:clientData/>
  </xdr:twoCellAnchor>
  <xdr:twoCellAnchor>
    <xdr:from>
      <xdr:col>10</xdr:col>
      <xdr:colOff>676275</xdr:colOff>
      <xdr:row>15</xdr:row>
      <xdr:rowOff>9525</xdr:rowOff>
    </xdr:from>
    <xdr:to>
      <xdr:col>13</xdr:col>
      <xdr:colOff>657225</xdr:colOff>
      <xdr:row>17</xdr:row>
      <xdr:rowOff>171450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29175" y="2724150"/>
          <a:ext cx="2038350" cy="523875"/>
        </a:xfrm>
        <a:prstGeom prst="rect">
          <a:avLst/>
        </a:prstGeom>
        <a:solidFill>
          <a:srgbClr val="FFFF00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>
              <a:solidFill>
                <a:schemeClr val="tx1"/>
              </a:solidFill>
              <a:effectLst/>
              <a:latin typeface="Andalus" panose="02020603050405020304" pitchFamily="18" charset="-78"/>
              <a:cs typeface="Andalus" panose="02020603050405020304" pitchFamily="18" charset="-78"/>
            </a:rPr>
            <a:t>خلاصة الحساب الختامي</a:t>
          </a:r>
        </a:p>
      </xdr:txBody>
    </xdr:sp>
    <xdr:clientData/>
  </xdr:twoCellAnchor>
  <xdr:twoCellAnchor>
    <xdr:from>
      <xdr:col>6</xdr:col>
      <xdr:colOff>676275</xdr:colOff>
      <xdr:row>7</xdr:row>
      <xdr:rowOff>9525</xdr:rowOff>
    </xdr:from>
    <xdr:to>
      <xdr:col>9</xdr:col>
      <xdr:colOff>666750</xdr:colOff>
      <xdr:row>10</xdr:row>
      <xdr:rowOff>0</xdr:rowOff>
    </xdr:to>
    <xdr:sp macro="" textlink="">
      <xdr:nvSpPr>
        <xdr:cNvPr id="14" name="Rectangl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562850" y="1276350"/>
          <a:ext cx="2047875" cy="5334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>
          <a:sp3d extrusionH="57150">
            <a:bevelT w="38100" h="38100"/>
          </a:sp3d>
        </a:bodyPr>
        <a:lstStyle/>
        <a:p>
          <a:pPr algn="ctr" rtl="1"/>
          <a:r>
            <a:rPr lang="ar-SA" sz="2000">
              <a:solidFill>
                <a:schemeClr val="tx1"/>
              </a:solidFill>
              <a:effectLst/>
              <a:latin typeface="Andalus" panose="02020603050405020304" pitchFamily="18" charset="-78"/>
              <a:cs typeface="Andalus" panose="02020603050405020304" pitchFamily="18" charset="-78"/>
            </a:rPr>
            <a:t>إيرادات- أبواب</a:t>
          </a:r>
          <a:endParaRPr lang="ar-JO" sz="2000">
            <a:solidFill>
              <a:schemeClr val="tx1"/>
            </a:solidFill>
            <a:effectLst/>
            <a:latin typeface="Andalus" panose="02020603050405020304" pitchFamily="18" charset="-78"/>
            <a:cs typeface="Andalus" panose="02020603050405020304" pitchFamily="18" charset="-78"/>
          </a:endParaRPr>
        </a:p>
      </xdr:txBody>
    </xdr:sp>
    <xdr:clientData/>
  </xdr:twoCellAnchor>
  <xdr:twoCellAnchor>
    <xdr:from>
      <xdr:col>14</xdr:col>
      <xdr:colOff>676275</xdr:colOff>
      <xdr:row>7</xdr:row>
      <xdr:rowOff>9525</xdr:rowOff>
    </xdr:from>
    <xdr:to>
      <xdr:col>17</xdr:col>
      <xdr:colOff>676275</xdr:colOff>
      <xdr:row>10</xdr:row>
      <xdr:rowOff>0</xdr:rowOff>
    </xdr:to>
    <xdr:sp macro="" textlink="">
      <xdr:nvSpPr>
        <xdr:cNvPr id="15" name="Rectangl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066925" y="1276350"/>
          <a:ext cx="2057400" cy="5334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>
              <a:solidFill>
                <a:schemeClr val="tx1"/>
              </a:solidFill>
              <a:effectLst/>
              <a:latin typeface="Andalus" panose="02020603050405020304" pitchFamily="18" charset="-78"/>
              <a:ea typeface="+mn-ea"/>
              <a:cs typeface="Andalus" panose="02020603050405020304" pitchFamily="18" charset="-78"/>
            </a:rPr>
            <a:t>نفقات- أبواب</a:t>
          </a:r>
          <a:endParaRPr lang="ar-JO" sz="2000">
            <a:solidFill>
              <a:schemeClr val="tx1"/>
            </a:solidFill>
            <a:effectLst/>
            <a:latin typeface="Andalus" panose="02020603050405020304" pitchFamily="18" charset="-78"/>
            <a:cs typeface="Andalus" panose="02020603050405020304" pitchFamily="18" charset="-78"/>
          </a:endParaRPr>
        </a:p>
      </xdr:txBody>
    </xdr:sp>
    <xdr:clientData/>
  </xdr:twoCellAnchor>
  <xdr:twoCellAnchor>
    <xdr:from>
      <xdr:col>6</xdr:col>
      <xdr:colOff>676275</xdr:colOff>
      <xdr:row>11</xdr:row>
      <xdr:rowOff>19050</xdr:rowOff>
    </xdr:from>
    <xdr:to>
      <xdr:col>9</xdr:col>
      <xdr:colOff>666750</xdr:colOff>
      <xdr:row>14</xdr:row>
      <xdr:rowOff>9525</xdr:rowOff>
    </xdr:to>
    <xdr:sp macro="" textlink="">
      <xdr:nvSpPr>
        <xdr:cNvPr id="16" name="Rectangl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562850" y="2009775"/>
          <a:ext cx="2047875" cy="5334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effectLst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>
          <a:sp3d extrusionH="57150">
            <a:bevelT w="38100" h="38100"/>
          </a:sp3d>
        </a:bodyPr>
        <a:lstStyle/>
        <a:p>
          <a:pPr algn="ctr" rtl="1"/>
          <a:r>
            <a:rPr lang="ar-SA" sz="2000">
              <a:solidFill>
                <a:schemeClr val="tx1"/>
              </a:solidFill>
              <a:effectLst/>
              <a:latin typeface="Andalus" panose="02020603050405020304" pitchFamily="18" charset="-78"/>
              <a:cs typeface="Andalus" panose="02020603050405020304" pitchFamily="18" charset="-78"/>
            </a:rPr>
            <a:t>إيرادات- فصول</a:t>
          </a:r>
          <a:endParaRPr lang="ar-JO" sz="2000">
            <a:solidFill>
              <a:schemeClr val="tx1"/>
            </a:solidFill>
            <a:effectLst/>
            <a:latin typeface="Andalus" panose="02020603050405020304" pitchFamily="18" charset="-78"/>
            <a:cs typeface="Andalus" panose="02020603050405020304" pitchFamily="18" charset="-78"/>
          </a:endParaRPr>
        </a:p>
      </xdr:txBody>
    </xdr:sp>
    <xdr:clientData/>
  </xdr:twoCellAnchor>
  <xdr:twoCellAnchor>
    <xdr:from>
      <xdr:col>6</xdr:col>
      <xdr:colOff>676275</xdr:colOff>
      <xdr:row>15</xdr:row>
      <xdr:rowOff>9525</xdr:rowOff>
    </xdr:from>
    <xdr:to>
      <xdr:col>9</xdr:col>
      <xdr:colOff>666750</xdr:colOff>
      <xdr:row>18</xdr:row>
      <xdr:rowOff>0</xdr:rowOff>
    </xdr:to>
    <xdr:sp macro="" textlink="">
      <xdr:nvSpPr>
        <xdr:cNvPr id="17" name="Rectangl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562850" y="2724150"/>
          <a:ext cx="2047875" cy="533400"/>
        </a:xfrm>
        <a:prstGeom prst="rect">
          <a:avLst/>
        </a:prstGeom>
        <a:solidFill>
          <a:srgbClr val="CCECFF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2000">
              <a:solidFill>
                <a:schemeClr val="tx1"/>
              </a:solidFill>
              <a:effectLst/>
              <a:latin typeface="Andalus" panose="02020603050405020304" pitchFamily="18" charset="-78"/>
              <a:cs typeface="Andalus" panose="02020603050405020304" pitchFamily="18" charset="-78"/>
            </a:rPr>
            <a:t>إيرادات- مواد</a:t>
          </a:r>
          <a:endParaRPr lang="ar-JO" sz="2000">
            <a:solidFill>
              <a:schemeClr val="tx1"/>
            </a:solidFill>
            <a:effectLst/>
            <a:latin typeface="Andalus" panose="02020603050405020304" pitchFamily="18" charset="-78"/>
            <a:cs typeface="Andalus" panose="02020603050405020304" pitchFamily="18" charset="-78"/>
          </a:endParaRPr>
        </a:p>
      </xdr:txBody>
    </xdr:sp>
    <xdr:clientData/>
  </xdr:twoCellAnchor>
  <xdr:twoCellAnchor>
    <xdr:from>
      <xdr:col>6</xdr:col>
      <xdr:colOff>676275</xdr:colOff>
      <xdr:row>19</xdr:row>
      <xdr:rowOff>19050</xdr:rowOff>
    </xdr:from>
    <xdr:to>
      <xdr:col>9</xdr:col>
      <xdr:colOff>666750</xdr:colOff>
      <xdr:row>22</xdr:row>
      <xdr:rowOff>9525</xdr:rowOff>
    </xdr:to>
    <xdr:sp macro="" textlink="">
      <xdr:nvSpPr>
        <xdr:cNvPr id="18" name="Rectangl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562850" y="3457575"/>
          <a:ext cx="2047875" cy="5334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2000">
              <a:solidFill>
                <a:schemeClr val="tx1"/>
              </a:solidFill>
              <a:effectLst/>
              <a:latin typeface="Andalus" panose="02020603050405020304" pitchFamily="18" charset="-78"/>
              <a:cs typeface="Andalus" panose="02020603050405020304" pitchFamily="18" charset="-78"/>
            </a:rPr>
            <a:t>إيرادات- </a:t>
          </a:r>
          <a:r>
            <a:rPr lang="ar-MA" sz="2000">
              <a:solidFill>
                <a:schemeClr val="tx1"/>
              </a:solidFill>
              <a:effectLst/>
              <a:latin typeface="Andalus" panose="02020603050405020304" pitchFamily="18" charset="-78"/>
              <a:cs typeface="Andalus" panose="02020603050405020304" pitchFamily="18" charset="-78"/>
            </a:rPr>
            <a:t>فرعي</a:t>
          </a:r>
          <a:endParaRPr lang="ar-JO" sz="2000">
            <a:solidFill>
              <a:schemeClr val="tx1"/>
            </a:solidFill>
            <a:effectLst/>
            <a:latin typeface="Andalus" panose="02020603050405020304" pitchFamily="18" charset="-78"/>
            <a:cs typeface="Andalus" panose="02020603050405020304" pitchFamily="18" charset="-78"/>
          </a:endParaRPr>
        </a:p>
      </xdr:txBody>
    </xdr:sp>
    <xdr:clientData/>
  </xdr:twoCellAnchor>
  <xdr:twoCellAnchor>
    <xdr:from>
      <xdr:col>14</xdr:col>
      <xdr:colOff>676275</xdr:colOff>
      <xdr:row>11</xdr:row>
      <xdr:rowOff>9525</xdr:rowOff>
    </xdr:from>
    <xdr:to>
      <xdr:col>17</xdr:col>
      <xdr:colOff>676275</xdr:colOff>
      <xdr:row>14</xdr:row>
      <xdr:rowOff>0</xdr:rowOff>
    </xdr:to>
    <xdr:sp macro="" textlink="">
      <xdr:nvSpPr>
        <xdr:cNvPr id="19" name="Rectangl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066925" y="2000250"/>
          <a:ext cx="2057400" cy="5334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>
              <a:solidFill>
                <a:schemeClr val="tx1"/>
              </a:solidFill>
              <a:effectLst/>
              <a:latin typeface="Andalus" panose="02020603050405020304" pitchFamily="18" charset="-78"/>
              <a:ea typeface="+mn-ea"/>
              <a:cs typeface="Andalus" panose="02020603050405020304" pitchFamily="18" charset="-78"/>
            </a:rPr>
            <a:t>نفقات- فصول</a:t>
          </a:r>
          <a:endParaRPr lang="ar-JO" sz="2000">
            <a:solidFill>
              <a:schemeClr val="tx1"/>
            </a:solidFill>
            <a:effectLst/>
            <a:latin typeface="Andalus" panose="02020603050405020304" pitchFamily="18" charset="-78"/>
            <a:cs typeface="Andalus" panose="02020603050405020304" pitchFamily="18" charset="-78"/>
          </a:endParaRPr>
        </a:p>
      </xdr:txBody>
    </xdr:sp>
    <xdr:clientData/>
  </xdr:twoCellAnchor>
  <xdr:twoCellAnchor>
    <xdr:from>
      <xdr:col>14</xdr:col>
      <xdr:colOff>676275</xdr:colOff>
      <xdr:row>15</xdr:row>
      <xdr:rowOff>9525</xdr:rowOff>
    </xdr:from>
    <xdr:to>
      <xdr:col>17</xdr:col>
      <xdr:colOff>676275</xdr:colOff>
      <xdr:row>18</xdr:row>
      <xdr:rowOff>0</xdr:rowOff>
    </xdr:to>
    <xdr:sp macro="" textlink="">
      <xdr:nvSpPr>
        <xdr:cNvPr id="20" name="Rectangl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066925" y="2724150"/>
          <a:ext cx="2057400" cy="533400"/>
        </a:xfrm>
        <a:prstGeom prst="rect">
          <a:avLst/>
        </a:prstGeom>
        <a:solidFill>
          <a:srgbClr val="CCECFF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>
              <a:solidFill>
                <a:schemeClr val="tx1"/>
              </a:solidFill>
              <a:effectLst/>
              <a:latin typeface="Andalus" panose="02020603050405020304" pitchFamily="18" charset="-78"/>
              <a:ea typeface="+mn-ea"/>
              <a:cs typeface="Andalus" panose="02020603050405020304" pitchFamily="18" charset="-78"/>
            </a:rPr>
            <a:t>نفقات- مواد</a:t>
          </a:r>
          <a:endParaRPr lang="ar-JO" sz="2000">
            <a:solidFill>
              <a:schemeClr val="tx1"/>
            </a:solidFill>
            <a:effectLst/>
            <a:latin typeface="Andalus" panose="02020603050405020304" pitchFamily="18" charset="-78"/>
            <a:cs typeface="Andalus" panose="02020603050405020304" pitchFamily="18" charset="-78"/>
          </a:endParaRPr>
        </a:p>
      </xdr:txBody>
    </xdr:sp>
    <xdr:clientData/>
  </xdr:twoCellAnchor>
  <xdr:twoCellAnchor>
    <xdr:from>
      <xdr:col>14</xdr:col>
      <xdr:colOff>676275</xdr:colOff>
      <xdr:row>19</xdr:row>
      <xdr:rowOff>9525</xdr:rowOff>
    </xdr:from>
    <xdr:to>
      <xdr:col>17</xdr:col>
      <xdr:colOff>676275</xdr:colOff>
      <xdr:row>22</xdr:row>
      <xdr:rowOff>0</xdr:rowOff>
    </xdr:to>
    <xdr:sp macro="" textlink="">
      <xdr:nvSpPr>
        <xdr:cNvPr id="21" name="Rectangl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066925" y="3448050"/>
          <a:ext cx="2057400" cy="5334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>
              <a:solidFill>
                <a:schemeClr val="tx1"/>
              </a:solidFill>
              <a:effectLst/>
              <a:latin typeface="Andalus" panose="02020603050405020304" pitchFamily="18" charset="-78"/>
              <a:ea typeface="+mn-ea"/>
              <a:cs typeface="Andalus" panose="02020603050405020304" pitchFamily="18" charset="-78"/>
            </a:rPr>
            <a:t>نفقات- </a:t>
          </a:r>
          <a:r>
            <a:rPr lang="ar-MA" sz="2000">
              <a:solidFill>
                <a:schemeClr val="tx1"/>
              </a:solidFill>
              <a:effectLst/>
              <a:latin typeface="Andalus" panose="02020603050405020304" pitchFamily="18" charset="-78"/>
              <a:ea typeface="+mn-ea"/>
              <a:cs typeface="Andalus" panose="02020603050405020304" pitchFamily="18" charset="-78"/>
            </a:rPr>
            <a:t>فرعي</a:t>
          </a:r>
          <a:endParaRPr lang="ar-JO" sz="2000">
            <a:solidFill>
              <a:schemeClr val="tx1"/>
            </a:solidFill>
            <a:effectLst/>
            <a:latin typeface="Andalus" panose="02020603050405020304" pitchFamily="18" charset="-78"/>
            <a:cs typeface="Andalus" panose="02020603050405020304" pitchFamily="18" charset="-78"/>
          </a:endParaRPr>
        </a:p>
      </xdr:txBody>
    </xdr:sp>
    <xdr:clientData/>
  </xdr:twoCellAnchor>
  <xdr:twoCellAnchor>
    <xdr:from>
      <xdr:col>10</xdr:col>
      <xdr:colOff>666750</xdr:colOff>
      <xdr:row>19</xdr:row>
      <xdr:rowOff>9525</xdr:rowOff>
    </xdr:from>
    <xdr:to>
      <xdr:col>13</xdr:col>
      <xdr:colOff>666750</xdr:colOff>
      <xdr:row>22</xdr:row>
      <xdr:rowOff>0</xdr:rowOff>
    </xdr:to>
    <xdr:sp macro="" textlink="">
      <xdr:nvSpPr>
        <xdr:cNvPr id="23" name="Rectangl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819650" y="3448050"/>
          <a:ext cx="2057400" cy="533400"/>
        </a:xfrm>
        <a:prstGeom prst="rect">
          <a:avLst/>
        </a:prstGeom>
        <a:solidFill>
          <a:srgbClr val="FFCCFF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600">
              <a:solidFill>
                <a:schemeClr val="tx1"/>
              </a:solidFill>
              <a:effectLst/>
              <a:latin typeface="Andalus" panose="02020603050405020304" pitchFamily="18" charset="-78"/>
              <a:ea typeface="+mn-ea"/>
              <a:cs typeface="Andalus" panose="02020603050405020304" pitchFamily="18" charset="-78"/>
            </a:rPr>
            <a:t>الحساب الختامي  حسب الجهات</a:t>
          </a:r>
        </a:p>
      </xdr:txBody>
    </xdr:sp>
    <xdr:clientData/>
  </xdr:twoCellAnchor>
  <xdr:twoCellAnchor>
    <xdr:from>
      <xdr:col>11</xdr:col>
      <xdr:colOff>247650</xdr:colOff>
      <xdr:row>6</xdr:row>
      <xdr:rowOff>57150</xdr:rowOff>
    </xdr:from>
    <xdr:to>
      <xdr:col>13</xdr:col>
      <xdr:colOff>400050</xdr:colOff>
      <xdr:row>14</xdr:row>
      <xdr:rowOff>9525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1143000"/>
          <a:ext cx="1524000" cy="1400175"/>
        </a:xfrm>
        <a:prstGeom prst="rect">
          <a:avLst/>
        </a:prstGeom>
        <a:gradFill>
          <a:gsLst>
            <a:gs pos="37000">
              <a:srgbClr val="5BE9DC"/>
            </a:gs>
            <a:gs pos="0">
              <a:srgbClr val="00FFCC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  <xdr:twoCellAnchor>
    <xdr:from>
      <xdr:col>6</xdr:col>
      <xdr:colOff>676275</xdr:colOff>
      <xdr:row>23</xdr:row>
      <xdr:rowOff>9526</xdr:rowOff>
    </xdr:from>
    <xdr:to>
      <xdr:col>17</xdr:col>
      <xdr:colOff>676275</xdr:colOff>
      <xdr:row>25</xdr:row>
      <xdr:rowOff>171450</xdr:rowOff>
    </xdr:to>
    <xdr:sp macro="" textlink="">
      <xdr:nvSpPr>
        <xdr:cNvPr id="29" name="Rounded 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066925" y="4171951"/>
          <a:ext cx="7543800" cy="523874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39700" h="139700" prst="divo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800">
              <a:solidFill>
                <a:schemeClr val="tx1"/>
              </a:solidFill>
              <a:effectLst>
                <a:glow rad="63500">
                  <a:schemeClr val="accent2">
                    <a:satMod val="175000"/>
                    <a:alpha val="40000"/>
                  </a:schemeClr>
                </a:glow>
              </a:effectLst>
              <a:latin typeface="Andalus" panose="02020603050405020304" pitchFamily="18" charset="-78"/>
              <a:cs typeface="Andalus" panose="02020603050405020304" pitchFamily="18" charset="-78"/>
            </a:rPr>
            <a:t>إعداد دائرة الشؤون المالية / شعبة الموازنة</a:t>
          </a:r>
          <a:endParaRPr lang="ar-JO" sz="1800">
            <a:solidFill>
              <a:schemeClr val="tx1"/>
            </a:solidFill>
            <a:effectLst>
              <a:glow rad="63500">
                <a:schemeClr val="accent2">
                  <a:satMod val="175000"/>
                  <a:alpha val="40000"/>
                </a:schemeClr>
              </a:glow>
            </a:effectLst>
            <a:latin typeface="Andalus" panose="02020603050405020304" pitchFamily="18" charset="-78"/>
            <a:cs typeface="Andalus" panose="02020603050405020304" pitchFamily="18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V28"/>
  <sheetViews>
    <sheetView showGridLines="0" showRowColHeaders="0" rightToLeft="1" topLeftCell="D15" workbookViewId="0">
      <selection activeCell="T19" sqref="T19"/>
    </sheetView>
  </sheetViews>
  <sheetFormatPr defaultColWidth="0" defaultRowHeight="14.25" zeroHeight="1" x14ac:dyDescent="0.2"/>
  <cols>
    <col min="1" max="3" width="9" hidden="1" customWidth="1"/>
    <col min="4" max="21" width="9" customWidth="1"/>
    <col min="22" max="22" width="0" hidden="1" customWidth="1"/>
    <col min="23" max="16384" width="9" hidden="1"/>
  </cols>
  <sheetData>
    <row r="1" spans="6:20" x14ac:dyDescent="0.2"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</row>
    <row r="2" spans="6:20" x14ac:dyDescent="0.2">
      <c r="F2" s="27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9"/>
    </row>
    <row r="3" spans="6:20" x14ac:dyDescent="0.2">
      <c r="F3" s="27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</row>
    <row r="4" spans="6:20" x14ac:dyDescent="0.2">
      <c r="F4" s="27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</row>
    <row r="5" spans="6:20" x14ac:dyDescent="0.2">
      <c r="F5" s="27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9"/>
    </row>
    <row r="6" spans="6:20" x14ac:dyDescent="0.2">
      <c r="F6" s="27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9"/>
    </row>
    <row r="7" spans="6:20" x14ac:dyDescent="0.2">
      <c r="F7" s="27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</row>
    <row r="8" spans="6:20" x14ac:dyDescent="0.2">
      <c r="F8" s="2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9"/>
    </row>
    <row r="9" spans="6:20" x14ac:dyDescent="0.2"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</row>
    <row r="10" spans="6:20" x14ac:dyDescent="0.2"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</row>
    <row r="11" spans="6:20" x14ac:dyDescent="0.2"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</row>
    <row r="12" spans="6:20" x14ac:dyDescent="0.2"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</row>
    <row r="13" spans="6:20" x14ac:dyDescent="0.2"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</row>
    <row r="14" spans="6:20" x14ac:dyDescent="0.2"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</row>
    <row r="15" spans="6:20" x14ac:dyDescent="0.2"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</row>
    <row r="16" spans="6:20" x14ac:dyDescent="0.2"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</row>
    <row r="17" spans="5:20" x14ac:dyDescent="0.2"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</row>
    <row r="18" spans="5:20" x14ac:dyDescent="0.2"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</row>
    <row r="19" spans="5:20" x14ac:dyDescent="0.2">
      <c r="F19" s="27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/>
    </row>
    <row r="20" spans="5:20" x14ac:dyDescent="0.2">
      <c r="F20" s="2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</row>
    <row r="21" spans="5:20" x14ac:dyDescent="0.2"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</row>
    <row r="22" spans="5:20" ht="14.25" customHeight="1" x14ac:dyDescent="0.35">
      <c r="E22" s="19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/>
      <c r="R22" s="32"/>
      <c r="S22" s="32"/>
      <c r="T22" s="33"/>
    </row>
    <row r="23" spans="5:20" x14ac:dyDescent="0.2">
      <c r="E23" s="20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32"/>
      <c r="S23" s="32"/>
      <c r="T23" s="33"/>
    </row>
    <row r="24" spans="5:20" x14ac:dyDescent="0.2"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</row>
    <row r="25" spans="5:20" x14ac:dyDescent="0.2"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9"/>
    </row>
    <row r="26" spans="5:20" x14ac:dyDescent="0.2"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</row>
    <row r="27" spans="5:20" ht="15" thickBot="1" x14ac:dyDescent="0.25"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6"/>
    </row>
    <row r="28" spans="5:20" x14ac:dyDescent="0.2"/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CFF"/>
  </sheetPr>
  <dimension ref="B1:M407"/>
  <sheetViews>
    <sheetView rightToLeft="1" view="pageBreakPreview" zoomScale="60" zoomScaleNormal="100" workbookViewId="0">
      <pane ySplit="3" topLeftCell="A4" activePane="bottomLeft" state="frozen"/>
      <selection pane="bottomLeft" activeCell="F2" sqref="F1:J1048576"/>
    </sheetView>
  </sheetViews>
  <sheetFormatPr defaultRowHeight="14.25" x14ac:dyDescent="0.2"/>
  <cols>
    <col min="1" max="1" width="1.625" customWidth="1"/>
    <col min="2" max="2" width="4.125" style="7" bestFit="1" customWidth="1"/>
    <col min="3" max="3" width="4" style="7" bestFit="1" customWidth="1"/>
    <col min="4" max="4" width="9.125" style="10" bestFit="1" customWidth="1"/>
    <col min="5" max="5" width="45.625" style="76" bestFit="1" customWidth="1"/>
    <col min="6" max="8" width="10" style="7" bestFit="1" customWidth="1"/>
    <col min="9" max="9" width="9" style="7" bestFit="1" customWidth="1"/>
    <col min="10" max="10" width="7.875" style="206" bestFit="1" customWidth="1"/>
    <col min="11" max="11" width="9.125" style="206" bestFit="1"/>
  </cols>
  <sheetData>
    <row r="1" spans="2:11" s="87" customFormat="1" ht="12.75" x14ac:dyDescent="0.2">
      <c r="B1" s="358" t="s">
        <v>0</v>
      </c>
      <c r="C1" s="358"/>
      <c r="D1" s="315" t="s">
        <v>807</v>
      </c>
      <c r="E1" s="315"/>
      <c r="F1" s="315"/>
      <c r="G1" s="315"/>
      <c r="H1" s="315"/>
      <c r="I1" s="315"/>
      <c r="J1" s="315"/>
      <c r="K1" s="315"/>
    </row>
    <row r="2" spans="2:11" s="87" customFormat="1" ht="51" x14ac:dyDescent="0.2">
      <c r="B2" s="358"/>
      <c r="C2" s="358"/>
      <c r="D2" s="308" t="s">
        <v>328</v>
      </c>
      <c r="E2" s="314" t="s">
        <v>329</v>
      </c>
      <c r="F2" s="192" t="s">
        <v>520</v>
      </c>
      <c r="G2" s="192" t="s">
        <v>521</v>
      </c>
      <c r="H2" s="192" t="s">
        <v>522</v>
      </c>
      <c r="I2" s="191" t="s">
        <v>523</v>
      </c>
      <c r="J2" s="190" t="s">
        <v>815</v>
      </c>
      <c r="K2" s="190" t="s">
        <v>806</v>
      </c>
    </row>
    <row r="3" spans="2:11" s="87" customFormat="1" ht="12.75" x14ac:dyDescent="0.2">
      <c r="B3" s="358"/>
      <c r="C3" s="358"/>
      <c r="D3" s="308"/>
      <c r="E3" s="314"/>
      <c r="F3" s="328">
        <v>2020</v>
      </c>
      <c r="G3" s="328"/>
      <c r="H3" s="328"/>
      <c r="I3" s="328"/>
      <c r="J3" s="328"/>
      <c r="K3" s="328"/>
    </row>
    <row r="4" spans="2:11" x14ac:dyDescent="0.2">
      <c r="B4" s="309" t="s">
        <v>252</v>
      </c>
      <c r="C4" s="309"/>
      <c r="D4" s="309"/>
      <c r="E4" s="309"/>
      <c r="F4" s="309"/>
      <c r="G4" s="309"/>
      <c r="H4" s="309"/>
      <c r="I4" s="309"/>
      <c r="J4" s="309"/>
      <c r="K4" s="309"/>
    </row>
    <row r="5" spans="2:11" x14ac:dyDescent="0.2">
      <c r="B5" s="334" t="s">
        <v>246</v>
      </c>
      <c r="C5" s="334"/>
      <c r="D5" s="334"/>
      <c r="E5" s="334"/>
      <c r="F5" s="334"/>
      <c r="G5" s="334"/>
      <c r="H5" s="334"/>
      <c r="I5" s="334"/>
      <c r="J5" s="334"/>
      <c r="K5" s="334"/>
    </row>
    <row r="6" spans="2:11" x14ac:dyDescent="0.2">
      <c r="B6" s="347">
        <v>1</v>
      </c>
      <c r="C6" s="348" t="s">
        <v>103</v>
      </c>
      <c r="D6" s="348"/>
      <c r="E6" s="348"/>
      <c r="F6" s="348"/>
      <c r="G6" s="348"/>
      <c r="H6" s="348"/>
      <c r="I6" s="348"/>
      <c r="J6" s="348"/>
      <c r="K6" s="348"/>
    </row>
    <row r="7" spans="2:11" ht="14.25" customHeight="1" x14ac:dyDescent="0.2">
      <c r="B7" s="347"/>
      <c r="C7" s="345">
        <v>1</v>
      </c>
      <c r="D7" s="22">
        <v>20101001</v>
      </c>
      <c r="E7" s="77" t="s">
        <v>15</v>
      </c>
      <c r="F7" s="8">
        <f>IF(' جهات'!G43+' جهات'!G49+' جهات'!G54+' جهات'!G61+' جهات'!G70+' جهات'!G81+' جهات'!G88+' جهات'!G97+' جهات'!G118+' جهات'!G128+' جهات'!G102+' جهات'!G203+' جهات'!G328&gt;0,' جهات'!G43+' جهات'!G49+' جهات'!G54+' جهات'!G61+' جهات'!G70+' جهات'!G81+' جهات'!G88+' جهات'!G97+' جهات'!G118+' جهات'!G128+' جهات'!G102+' جهات'!G203+' جهات'!G328,"")</f>
        <v>7953000</v>
      </c>
      <c r="G7" s="8">
        <f>IF(' جهات'!H43+' جهات'!H49+' جهات'!H54+' جهات'!H61+' جهات'!H70+' جهات'!H81+' جهات'!H88+' جهات'!H97+' جهات'!H118+' جهات'!H128+' جهات'!H102+' جهات'!H203+' جهات'!H328&gt;0,' جهات'!H43+' جهات'!H49+' جهات'!H54+' جهات'!H61+' جهات'!H70+' جهات'!H81+' جهات'!H88+' جهات'!H97+' جهات'!H118+' جهات'!H128+' جهات'!H102+' جهات'!H203+' جهات'!H328,"")</f>
        <v>7953000</v>
      </c>
      <c r="H7" s="177">
        <f>IF(' جهات'!I43+' جهات'!I49+' جهات'!I54+' جهات'!I61+' جهات'!I70+' جهات'!I81+' جهات'!I88+' جهات'!I97+' جهات'!I118+' جهات'!I128+' جهات'!I102+' جهات'!I203+' جهات'!I328&gt;0,' جهات'!I43+' جهات'!I49+' جهات'!I54+' جهات'!I61+' جهات'!I70+' جهات'!I81+' جهات'!I88+' جهات'!I97+' جهات'!I118+' جهات'!I128+' جهات'!I102+' جهات'!I203+' جهات'!I328,"")</f>
        <v>7520494.6989999982</v>
      </c>
      <c r="I7" s="8" t="str">
        <f>IF(' جهات'!J43+' جهات'!J49+' جهات'!J54+' جهات'!J61+' جهات'!J70+' جهات'!J81+' جهات'!J88+' جهات'!J97+' جهات'!J118+' جهات'!J128+' جهات'!J102+' جهات'!J203+' جهات'!J328&gt;0,' جهات'!J43+' جهات'!J49+' جهات'!J54+' جهات'!J61+' جهات'!J70+' جهات'!J81+' جهات'!J88+' جهات'!J97+' جهات'!J118+' جهات'!J128+' جهات'!J102+' جهات'!J203+' جهات'!J328,"")</f>
        <v/>
      </c>
      <c r="J7" s="167">
        <f>IFERROR(H7/G7,"")</f>
        <v>0.94561733924305269</v>
      </c>
      <c r="K7" s="168">
        <f>IFERROR(H7/$G$351,"")</f>
        <v>0.21051659105923184</v>
      </c>
    </row>
    <row r="8" spans="2:11" ht="14.25" customHeight="1" x14ac:dyDescent="0.2">
      <c r="B8" s="347"/>
      <c r="C8" s="345"/>
      <c r="D8" s="22">
        <v>20101002</v>
      </c>
      <c r="E8" s="77" t="s">
        <v>16</v>
      </c>
      <c r="F8" s="8">
        <f>IF(' جهات'!G363&gt;0,' جهات'!G363,"")</f>
        <v>1400000</v>
      </c>
      <c r="G8" s="8">
        <f>IF(' جهات'!H363&gt;0,' جهات'!H363,"")</f>
        <v>1400000</v>
      </c>
      <c r="H8" s="177">
        <f>IF(' جهات'!I363&gt;0,' جهات'!I363,"")</f>
        <v>1161778.814</v>
      </c>
      <c r="I8" s="8" t="str">
        <f>IF(' جهات'!J363&gt;0,' جهات'!J363,"")</f>
        <v/>
      </c>
      <c r="J8" s="167">
        <f t="shared" ref="J8:J70" si="0">IFERROR(H8/G8,"")</f>
        <v>0.82984201000000002</v>
      </c>
      <c r="K8" s="168">
        <f t="shared" ref="K8:K70" si="1">IFERROR(H8/$G$351,"")</f>
        <v>3.2520961090583361E-2</v>
      </c>
    </row>
    <row r="9" spans="2:11" ht="14.25" customHeight="1" x14ac:dyDescent="0.2">
      <c r="B9" s="347"/>
      <c r="C9" s="345"/>
      <c r="D9" s="22">
        <v>20101003</v>
      </c>
      <c r="E9" s="77" t="s">
        <v>17</v>
      </c>
      <c r="F9" s="8">
        <f>IF(' جهات'!G364&gt;0,' جهات'!G364,"")</f>
        <v>75000</v>
      </c>
      <c r="G9" s="8">
        <f>IF(' جهات'!H364&gt;0,' جهات'!H364,"")</f>
        <v>75000</v>
      </c>
      <c r="H9" s="177">
        <f>IF(' جهات'!I364&gt;0,' جهات'!I364,"")</f>
        <v>29265.023000000001</v>
      </c>
      <c r="I9" s="8" t="str">
        <f>IF(' جهات'!J364&gt;0,' جهات'!J364,"")</f>
        <v/>
      </c>
      <c r="J9" s="167">
        <f t="shared" si="0"/>
        <v>0.39020030666666666</v>
      </c>
      <c r="K9" s="168">
        <f t="shared" si="1"/>
        <v>8.191978221923637E-4</v>
      </c>
    </row>
    <row r="10" spans="2:11" ht="14.25" customHeight="1" x14ac:dyDescent="0.2">
      <c r="B10" s="347"/>
      <c r="C10" s="345"/>
      <c r="D10" s="22">
        <v>20101005</v>
      </c>
      <c r="E10" s="77" t="s">
        <v>18</v>
      </c>
      <c r="F10" s="8">
        <f>IF(' جهات'!G365&gt;0,' جهات'!G365,"")</f>
        <v>3000</v>
      </c>
      <c r="G10" s="8">
        <f>IF(' جهات'!H365&gt;0,' جهات'!H365,"")</f>
        <v>3000</v>
      </c>
      <c r="H10" s="177">
        <f>IF(' جهات'!I365&gt;0,' جهات'!I365,"")</f>
        <v>3000</v>
      </c>
      <c r="I10" s="8" t="str">
        <f>IF(' جهات'!J365&gt;0,' جهات'!J365,"")</f>
        <v/>
      </c>
      <c r="J10" s="167">
        <f t="shared" si="0"/>
        <v>1</v>
      </c>
      <c r="K10" s="168">
        <f t="shared" si="1"/>
        <v>8.397715821296607E-5</v>
      </c>
    </row>
    <row r="11" spans="2:11" ht="14.25" customHeight="1" x14ac:dyDescent="0.2">
      <c r="B11" s="347"/>
      <c r="C11" s="345"/>
      <c r="D11" s="22">
        <v>20101007</v>
      </c>
      <c r="E11" s="77" t="s">
        <v>19</v>
      </c>
      <c r="F11" s="8">
        <f>IF(' جهات'!G377&gt;0,' جهات'!G377,"")</f>
        <v>400000</v>
      </c>
      <c r="G11" s="8">
        <f>IF(' جهات'!H377&gt;0,' جهات'!H377,"")</f>
        <v>352000</v>
      </c>
      <c r="H11" s="177">
        <f>IF(' جهات'!I377&gt;0,' جهات'!I377,"")</f>
        <v>86093.55</v>
      </c>
      <c r="I11" s="8" t="str">
        <f>IF(' جهات'!J377&gt;0,' جهات'!J377,"")</f>
        <v/>
      </c>
      <c r="J11" s="167">
        <f t="shared" si="0"/>
        <v>0.24458394886363638</v>
      </c>
      <c r="K11" s="168">
        <f t="shared" si="1"/>
        <v>2.4099638898219685E-3</v>
      </c>
    </row>
    <row r="12" spans="2:11" ht="14.25" customHeight="1" x14ac:dyDescent="0.2">
      <c r="B12" s="347"/>
      <c r="C12" s="345"/>
      <c r="D12" s="22">
        <v>20101008</v>
      </c>
      <c r="E12" s="77" t="s">
        <v>20</v>
      </c>
      <c r="F12" s="8">
        <f>IF(' جهات'!G366&gt;0,' جهات'!G366,"")</f>
        <v>150000</v>
      </c>
      <c r="G12" s="8">
        <f>IF(' جهات'!H366&gt;0,' جهات'!H366,"")</f>
        <v>150000</v>
      </c>
      <c r="H12" s="177">
        <f>IF(' جهات'!I366&gt;0,' جهات'!I366,"")</f>
        <v>84192.6</v>
      </c>
      <c r="I12" s="8" t="str">
        <f>IF(' جهات'!J366&gt;0,' جهات'!J366,"")</f>
        <v/>
      </c>
      <c r="J12" s="167">
        <f t="shared" si="0"/>
        <v>0.56128400000000001</v>
      </c>
      <c r="K12" s="168">
        <f t="shared" si="1"/>
        <v>2.3567517635203227E-3</v>
      </c>
    </row>
    <row r="13" spans="2:11" s="37" customFormat="1" ht="14.25" customHeight="1" x14ac:dyDescent="0.2">
      <c r="B13" s="347"/>
      <c r="C13" s="345"/>
      <c r="D13" s="22">
        <v>20101009</v>
      </c>
      <c r="E13" s="78" t="s">
        <v>474</v>
      </c>
      <c r="F13" s="8">
        <f>IF(' جهات'!G367&gt;0,' جهات'!G367,"")</f>
        <v>25000</v>
      </c>
      <c r="G13" s="8">
        <f>IF(' جهات'!H367&gt;0,' جهات'!H367,"")</f>
        <v>25000</v>
      </c>
      <c r="H13" s="177">
        <f>IF(' جهات'!I367&gt;0,' جهات'!I367,"")</f>
        <v>14085</v>
      </c>
      <c r="I13" s="8" t="str">
        <f>IF(' جهات'!J367&gt;0,' جهات'!J367,"")</f>
        <v/>
      </c>
      <c r="J13" s="167">
        <f t="shared" si="0"/>
        <v>0.56340000000000001</v>
      </c>
      <c r="K13" s="168">
        <f t="shared" si="1"/>
        <v>3.9427275780987571E-4</v>
      </c>
    </row>
    <row r="14" spans="2:11" s="37" customFormat="1" x14ac:dyDescent="0.2">
      <c r="B14" s="347"/>
      <c r="C14" s="346" t="s">
        <v>21</v>
      </c>
      <c r="D14" s="346"/>
      <c r="E14" s="346"/>
      <c r="F14" s="60">
        <f>SUM(F7:F13)</f>
        <v>10006000</v>
      </c>
      <c r="G14" s="60">
        <f t="shared" ref="G14:I14" si="2">SUM(G7:G13)</f>
        <v>9958000</v>
      </c>
      <c r="H14" s="60">
        <f t="shared" si="2"/>
        <v>8898909.6859999988</v>
      </c>
      <c r="I14" s="60">
        <f t="shared" si="2"/>
        <v>0</v>
      </c>
      <c r="J14" s="167">
        <f t="shared" si="0"/>
        <v>0.89364427455312301</v>
      </c>
      <c r="K14" s="168">
        <f t="shared" si="1"/>
        <v>0.24910171554137273</v>
      </c>
    </row>
    <row r="15" spans="2:11" x14ac:dyDescent="0.2">
      <c r="B15" s="347"/>
      <c r="C15" s="348" t="s">
        <v>104</v>
      </c>
      <c r="D15" s="348"/>
      <c r="E15" s="348"/>
      <c r="F15" s="348"/>
      <c r="G15" s="348"/>
      <c r="H15" s="348"/>
      <c r="I15" s="348"/>
      <c r="J15" s="348"/>
      <c r="K15" s="348"/>
    </row>
    <row r="16" spans="2:11" ht="14.25" customHeight="1" x14ac:dyDescent="0.2">
      <c r="B16" s="347"/>
      <c r="C16" s="345">
        <v>3</v>
      </c>
      <c r="D16" s="22">
        <v>20103001</v>
      </c>
      <c r="E16" s="77" t="s">
        <v>22</v>
      </c>
      <c r="F16" s="8">
        <f>IF(' جهات'!G5+' جهات'!G10+' جهات'!G23+' جهات'!G27+' جهات'!G33+' جهات'!G37+' جهات'!G44+' جهات'!G50+' جهات'!G55+' جهات'!G62+' جهات'!G71+' جهات'!G82+' جهات'!G89+' جهات'!G98+' جهات'!G119+' جهات'!G129+' جهات'!G103+' جهات'!G133+' جهات'!G137+' جهات'!G145+' جهات'!G152+' جهات'!G167+' جهات'!G187+' جهات'!G204+' جهات'!G216+' جهات'!G223+' جهات'!G230+' جهات'!G238+' جهات'!G242+' جهات'!G246+' جهات'!G250+' جهات'!G260+' جهات'!G273+' جهات'!G278+' جهات'!G287+' جهات'!G311+' جهات'!G211+' جهات'!G329+' جهات'!G333+' جهات'!G337+' جهات'!G341+' جهات'!G346+' جهات'!G353+' جهات'!G356+' جهات'!G114&gt;0,' جهات'!G5+' جهات'!G10+' جهات'!G23+' جهات'!G27+' جهات'!G33+' جهات'!G37+' جهات'!G44+' جهات'!G50+' جهات'!G55+' جهات'!G62+' جهات'!G71+' جهات'!G82+' جهات'!G89+' جهات'!G98+' جهات'!G119+' جهات'!G129+' جهات'!G103+' جهات'!G133+' جهات'!G137+' جهات'!G145+' جهات'!G152+' جهات'!G167+' جهات'!G187+' جهات'!G204+' جهات'!G216+' جهات'!G223+' جهات'!G230+' جهات'!G238+' جهات'!G242+' جهات'!G246+' جهات'!G250+' جهات'!G260+' جهات'!G273+' جهات'!G278+' جهات'!G287+' جهات'!G311+' جهات'!G211+' جهات'!G329+' جهات'!G333+' جهات'!G337+' جهات'!G341+' جهات'!G346+' جهات'!G353+' جهات'!G356+' جهات'!G114,"")</f>
        <v>7139000</v>
      </c>
      <c r="G16" s="8">
        <f>IF(' جهات'!H5+' جهات'!H10+' جهات'!H23+' جهات'!H27+' جهات'!H33+' جهات'!H37+' جهات'!H44+' جهات'!H50+' جهات'!H55+' جهات'!H62+' جهات'!H71+' جهات'!H82+' جهات'!H89+' جهات'!H98+' جهات'!H119+' جهات'!H129+' جهات'!H103+' جهات'!H133+' جهات'!H137+' جهات'!H145+' جهات'!H152+' جهات'!H167+' جهات'!H187+' جهات'!H204+' جهات'!H216+' جهات'!H223+' جهات'!H230+' جهات'!H238+' جهات'!H242+' جهات'!H246+' جهات'!H250+' جهات'!H260+' جهات'!H273+' جهات'!H278+' جهات'!H287+' جهات'!H311+' جهات'!H211+' جهات'!H329+' جهات'!H333+' جهات'!H337+' جهات'!H341+' جهات'!H346+' جهات'!H353+' جهات'!H356+' جهات'!H114&gt;0,' جهات'!H5+' جهات'!H10+' جهات'!H23+' جهات'!H27+' جهات'!H33+' جهات'!H37+' جهات'!H44+' جهات'!H50+' جهات'!H55+' جهات'!H62+' جهات'!H71+' جهات'!H82+' جهات'!H89+' جهات'!H98+' جهات'!H119+' جهات'!H129+' جهات'!H103+' جهات'!H133+' جهات'!H137+' جهات'!H145+' جهات'!H152+' جهات'!H167+' جهات'!H187+' جهات'!H204+' جهات'!H216+' جهات'!H223+' جهات'!H230+' جهات'!H238+' جهات'!H242+' جهات'!H246+' جهات'!H250+' جهات'!H260+' جهات'!H273+' جهات'!H278+' جهات'!H287+' جهات'!H311+' جهات'!H211+' جهات'!H329+' جهات'!H333+' جهات'!H337+' جهات'!H341+' جهات'!H346+' جهات'!H353+' جهات'!H356+' جهات'!H114,"")</f>
        <v>7179000</v>
      </c>
      <c r="H16" s="177">
        <f>IF(' جهات'!I5+' جهات'!I10+' جهات'!I23+' جهات'!I27+' جهات'!I33+' جهات'!I37+' جهات'!I44+' جهات'!I50+' جهات'!I55+' جهات'!I62+' جهات'!I71+' جهات'!I82+' جهات'!I89+' جهات'!I98+' جهات'!I119+' جهات'!I129+' جهات'!I103+' جهات'!I133+' جهات'!I137+' جهات'!I145+' جهات'!I152+' جهات'!I167+' جهات'!I187+' جهات'!I204+' جهات'!I216+' جهات'!I223+' جهات'!I230+' جهات'!I238+' جهات'!I242+' جهات'!I246+' جهات'!I250+' جهات'!I260+' جهات'!I273+' جهات'!I278+' جهات'!I287+' جهات'!I311+' جهات'!I211+' جهات'!I329+' جهات'!I333+' جهات'!I337+' جهات'!I341+' جهات'!I346+' جهات'!I353+' جهات'!I356+' جهات'!I114&gt;0,' جهات'!I5+' جهات'!I10+' جهات'!I23+' جهات'!I27+' جهات'!I33+' جهات'!I37+' جهات'!I44+' جهات'!I50+' جهات'!I55+' جهات'!I62+' جهات'!I71+' جهات'!I82+' جهات'!I89+' جهات'!I98+' جهات'!I119+' جهات'!I129+' جهات'!I103+' جهات'!I133+' جهات'!I137+' جهات'!I145+' جهات'!I152+' جهات'!I167+' جهات'!I187+' جهات'!I204+' جهات'!I216+' جهات'!I223+' جهات'!I230+' جهات'!I238+' جهات'!I242+' جهات'!I246+' جهات'!I250+' جهات'!I260+' جهات'!I273+' جهات'!I278+' جهات'!I287+' جهات'!I311+' جهات'!I211+' جهات'!I329+' جهات'!I333+' جهات'!I337+' جهات'!I341+' جهات'!I346+' جهات'!I353+' جهات'!I356+' جهات'!I114,"")</f>
        <v>6638560.9100000011</v>
      </c>
      <c r="I16" s="8" t="str">
        <f>IF(' جهات'!J5+' جهات'!J10+' جهات'!J23+' جهات'!J27+' جهات'!J33+' جهات'!J37+' جهات'!J44+' جهات'!J50+' جهات'!J55+' جهات'!J62+' جهات'!J71+' جهات'!J82+' جهات'!J89+' جهات'!J98+' جهات'!J119+' جهات'!J129+' جهات'!J103+' جهات'!J133+' جهات'!J137+' جهات'!J145+' جهات'!J152+' جهات'!J167+' جهات'!J187+' جهات'!J204+' جهات'!J216+' جهات'!J223+' جهات'!J230+' جهات'!J238+' جهات'!J242+' جهات'!J246+' جهات'!J250+' جهات'!J260+' جهات'!J273+' جهات'!J278+' جهات'!J287+' جهات'!J311+' جهات'!J211+' جهات'!J329+' جهات'!J333+' جهات'!J337+' جهات'!J341+' جهات'!J346+' جهات'!J353+' جهات'!J356+' جهات'!J114&gt;0,' جهات'!J5+' جهات'!J10+' جهات'!J23+' جهات'!J27+' جهات'!J33+' جهات'!J37+' جهات'!J44+' جهات'!J50+' جهات'!J55+' جهات'!J62+' جهات'!J71+' جهات'!J82+' جهات'!J89+' جهات'!J98+' جهات'!J119+' جهات'!J129+' جهات'!J103+' جهات'!J133+' جهات'!J137+' جهات'!J145+' جهات'!J152+' جهات'!J167+' جهات'!J187+' جهات'!J204+' جهات'!J216+' جهات'!J223+' جهات'!J230+' جهات'!J238+' جهات'!J242+' جهات'!J246+' جهات'!J250+' جهات'!J260+' جهات'!J273+' جهات'!J278+' جهات'!J287+' جهات'!J311+' جهات'!J211+' جهات'!J329+' جهات'!J333+' جهات'!J337+' جهات'!J341+' جهات'!J346+' جهات'!J353+' جهات'!J356+' جهات'!J114,"")</f>
        <v/>
      </c>
      <c r="J16" s="167">
        <f t="shared" si="0"/>
        <v>0.92471944699818931</v>
      </c>
      <c r="K16" s="168">
        <f t="shared" si="1"/>
        <v>0.18582915994849403</v>
      </c>
    </row>
    <row r="17" spans="2:11" ht="14.25" customHeight="1" x14ac:dyDescent="0.2">
      <c r="B17" s="347"/>
      <c r="C17" s="345"/>
      <c r="D17" s="22">
        <v>20103002</v>
      </c>
      <c r="E17" s="77" t="s">
        <v>23</v>
      </c>
      <c r="F17" s="8">
        <f>IF(' جهات'!G368&gt;0,' جهات'!G368,"")</f>
        <v>60000</v>
      </c>
      <c r="G17" s="8">
        <f>IF(' جهات'!H368&gt;0,' جهات'!H368,"")</f>
        <v>60000</v>
      </c>
      <c r="H17" s="177">
        <f>IF(' جهات'!I368&gt;0,' جهات'!I368,"")</f>
        <v>36157.392</v>
      </c>
      <c r="I17" s="8" t="str">
        <f>IF(' جهات'!J368&gt;0,' جهات'!J368,"")</f>
        <v/>
      </c>
      <c r="J17" s="167">
        <f t="shared" si="0"/>
        <v>0.60262320000000003</v>
      </c>
      <c r="K17" s="168">
        <f t="shared" si="1"/>
        <v>1.012131676184078E-3</v>
      </c>
    </row>
    <row r="18" spans="2:11" ht="14.25" customHeight="1" x14ac:dyDescent="0.2">
      <c r="B18" s="347"/>
      <c r="C18" s="345"/>
      <c r="D18" s="22">
        <v>20103003</v>
      </c>
      <c r="E18" s="77" t="s">
        <v>24</v>
      </c>
      <c r="F18" s="8">
        <f>IF(' جهات'!G369&gt;0,' جهات'!G369,"")</f>
        <v>70000</v>
      </c>
      <c r="G18" s="8">
        <f>IF(' جهات'!H369&gt;0,' جهات'!H369,"")</f>
        <v>70000</v>
      </c>
      <c r="H18" s="177">
        <f>IF(' جهات'!I369&gt;0,' جهات'!I369,"")</f>
        <v>34631.877999999997</v>
      </c>
      <c r="I18" s="8" t="str">
        <f>IF(' جهات'!J369&gt;0,' جهات'!J369,"")</f>
        <v/>
      </c>
      <c r="J18" s="167">
        <f t="shared" si="0"/>
        <v>0.49474111428571427</v>
      </c>
      <c r="K18" s="168">
        <f t="shared" si="1"/>
        <v>9.6942889933937959E-4</v>
      </c>
    </row>
    <row r="19" spans="2:11" ht="14.25" customHeight="1" x14ac:dyDescent="0.2">
      <c r="B19" s="347"/>
      <c r="C19" s="345"/>
      <c r="D19" s="22">
        <v>20103006</v>
      </c>
      <c r="E19" s="77" t="s">
        <v>25</v>
      </c>
      <c r="F19" s="8">
        <f>IF(' جهات'!G378&gt;0,' جهات'!G378,"")</f>
        <v>42606</v>
      </c>
      <c r="G19" s="8">
        <f>IF(' جهات'!H378&gt;0,' جهات'!H378,"")</f>
        <v>40606</v>
      </c>
      <c r="H19" s="177">
        <f>IF(' جهات'!I378&gt;0,' جهات'!I378,"")</f>
        <v>39923.173000000003</v>
      </c>
      <c r="I19" s="8" t="str">
        <f>IF(' جهات'!J378&gt;0,' جهات'!J378,"")</f>
        <v/>
      </c>
      <c r="J19" s="167">
        <f t="shared" si="0"/>
        <v>0.983184086095651</v>
      </c>
      <c r="K19" s="168">
        <f t="shared" si="1"/>
        <v>1.1175448717948718E-3</v>
      </c>
    </row>
    <row r="20" spans="2:11" x14ac:dyDescent="0.2">
      <c r="B20" s="347"/>
      <c r="C20" s="346" t="s">
        <v>21</v>
      </c>
      <c r="D20" s="346"/>
      <c r="E20" s="346"/>
      <c r="F20" s="60">
        <f>SUM(F16:F19)</f>
        <v>7311606</v>
      </c>
      <c r="G20" s="60">
        <f t="shared" ref="G20:I20" si="3">SUM(G16:G19)</f>
        <v>7349606</v>
      </c>
      <c r="H20" s="60">
        <f>SUM(H16:H19)</f>
        <v>6749273.3530000011</v>
      </c>
      <c r="I20" s="60">
        <f t="shared" si="3"/>
        <v>0</v>
      </c>
      <c r="J20" s="167">
        <f t="shared" si="0"/>
        <v>0.91831771022827635</v>
      </c>
      <c r="K20" s="168">
        <f t="shared" si="1"/>
        <v>0.18892826539581237</v>
      </c>
    </row>
    <row r="21" spans="2:11" x14ac:dyDescent="0.2">
      <c r="B21" s="347"/>
      <c r="C21" s="348" t="s">
        <v>264</v>
      </c>
      <c r="D21" s="348"/>
      <c r="E21" s="348"/>
      <c r="F21" s="348"/>
      <c r="G21" s="348"/>
      <c r="H21" s="348"/>
      <c r="I21" s="348"/>
      <c r="J21" s="348"/>
      <c r="K21" s="348"/>
    </row>
    <row r="22" spans="2:11" ht="14.25" customHeight="1" x14ac:dyDescent="0.2">
      <c r="B22" s="347"/>
      <c r="C22" s="345">
        <v>16</v>
      </c>
      <c r="D22" s="23">
        <v>20116002</v>
      </c>
      <c r="E22" s="79" t="s">
        <v>26</v>
      </c>
      <c r="F22" s="8">
        <f>IF(' جهات'!G379&gt;0,' جهات'!G379,"")</f>
        <v>2406265</v>
      </c>
      <c r="G22" s="8">
        <f>IF(' جهات'!H379&gt;0,' جهات'!H379,"")</f>
        <v>2406265</v>
      </c>
      <c r="H22" s="177">
        <f>IF(' جهات'!I379&gt;0,' جهات'!I379,"")</f>
        <v>2406265</v>
      </c>
      <c r="I22" s="8" t="str">
        <f>IF(' جهات'!J379&gt;0,' جهات'!J379,"")</f>
        <v/>
      </c>
      <c r="J22" s="167">
        <f t="shared" si="0"/>
        <v>1</v>
      </c>
      <c r="K22" s="168">
        <f t="shared" si="1"/>
        <v>6.7357098869107609E-2</v>
      </c>
    </row>
    <row r="23" spans="2:11" ht="14.25" customHeight="1" x14ac:dyDescent="0.2">
      <c r="B23" s="347"/>
      <c r="C23" s="345"/>
      <c r="D23" s="23">
        <v>20116003</v>
      </c>
      <c r="E23" s="79" t="s">
        <v>27</v>
      </c>
      <c r="F23" s="8">
        <f>IF(' جهات'!G380&gt;0,' جهات'!G380,"")</f>
        <v>1557474</v>
      </c>
      <c r="G23" s="8">
        <f>IF(' جهات'!H380&gt;0,' جهات'!H380,"")</f>
        <v>1557474</v>
      </c>
      <c r="H23" s="177">
        <f>IF(' جهات'!I380&gt;0,' جهات'!I380,"")</f>
        <v>1557474</v>
      </c>
      <c r="I23" s="8" t="str">
        <f>IF(' جهات'!J380&gt;0,' جهات'!J380,"")</f>
        <v/>
      </c>
      <c r="J23" s="167">
        <f t="shared" si="0"/>
        <v>1</v>
      </c>
      <c r="K23" s="168">
        <f t="shared" si="1"/>
        <v>4.3597413503527041E-2</v>
      </c>
    </row>
    <row r="24" spans="2:11" ht="14.25" customHeight="1" x14ac:dyDescent="0.2">
      <c r="B24" s="347"/>
      <c r="C24" s="345"/>
      <c r="D24" s="23">
        <v>20116005</v>
      </c>
      <c r="E24" s="79" t="s">
        <v>28</v>
      </c>
      <c r="F24" s="8">
        <f>IF(' جهات'!G381&gt;0,' جهات'!G381,"")</f>
        <v>135358</v>
      </c>
      <c r="G24" s="8">
        <f>IF(' جهات'!H381&gt;0,' جهات'!H381,"")</f>
        <v>135358</v>
      </c>
      <c r="H24" s="177">
        <f>IF(' جهات'!I381&gt;0,' جهات'!I381,"")</f>
        <v>135358</v>
      </c>
      <c r="I24" s="8" t="str">
        <f>IF(' جهات'!J381&gt;0,' جهات'!J381,"")</f>
        <v/>
      </c>
      <c r="J24" s="167">
        <f t="shared" si="0"/>
        <v>1</v>
      </c>
      <c r="K24" s="168">
        <f t="shared" si="1"/>
        <v>3.7889933937968871E-3</v>
      </c>
    </row>
    <row r="25" spans="2:11" ht="14.25" customHeight="1" x14ac:dyDescent="0.2">
      <c r="B25" s="347"/>
      <c r="C25" s="345"/>
      <c r="D25" s="23">
        <v>20116006</v>
      </c>
      <c r="E25" s="79" t="s">
        <v>29</v>
      </c>
      <c r="F25" s="8">
        <f>IF(' جهات'!G382&gt;0,' جهات'!G382,"")</f>
        <v>27072</v>
      </c>
      <c r="G25" s="8">
        <f>IF(' جهات'!H382&gt;0,' جهات'!H382,"")</f>
        <v>27072</v>
      </c>
      <c r="H25" s="177">
        <f>IF(' جهات'!I382&gt;0,' جهات'!I382,"")</f>
        <v>27072</v>
      </c>
      <c r="I25" s="8" t="str">
        <f>IF(' جهات'!J382&gt;0,' جهات'!J382,"")</f>
        <v/>
      </c>
      <c r="J25" s="167">
        <f t="shared" si="0"/>
        <v>1</v>
      </c>
      <c r="K25" s="168">
        <f t="shared" si="1"/>
        <v>7.5780987571380585E-4</v>
      </c>
    </row>
    <row r="26" spans="2:11" x14ac:dyDescent="0.2">
      <c r="B26" s="347"/>
      <c r="C26" s="346" t="s">
        <v>21</v>
      </c>
      <c r="D26" s="346"/>
      <c r="E26" s="346"/>
      <c r="F26" s="60">
        <f>SUM(F22:F25)</f>
        <v>4126169</v>
      </c>
      <c r="G26" s="60">
        <f t="shared" ref="G26:I26" si="4">SUM(G22:G25)</f>
        <v>4126169</v>
      </c>
      <c r="H26" s="60">
        <f>SUM(H22:H25)</f>
        <v>4126169</v>
      </c>
      <c r="I26" s="60">
        <f t="shared" si="4"/>
        <v>0</v>
      </c>
      <c r="J26" s="167">
        <f t="shared" si="0"/>
        <v>1</v>
      </c>
      <c r="K26" s="168">
        <f t="shared" si="1"/>
        <v>0.11550131564214533</v>
      </c>
    </row>
    <row r="27" spans="2:11" x14ac:dyDescent="0.2">
      <c r="B27" s="347"/>
      <c r="C27" s="348" t="s">
        <v>407</v>
      </c>
      <c r="D27" s="348"/>
      <c r="E27" s="348"/>
      <c r="F27" s="348"/>
      <c r="G27" s="348"/>
      <c r="H27" s="348"/>
      <c r="I27" s="348"/>
      <c r="J27" s="348"/>
      <c r="K27" s="348"/>
    </row>
    <row r="28" spans="2:11" ht="14.25" customHeight="1" x14ac:dyDescent="0.2">
      <c r="B28" s="347"/>
      <c r="C28" s="345">
        <v>17</v>
      </c>
      <c r="D28" s="22">
        <v>20117001</v>
      </c>
      <c r="E28" s="77" t="s">
        <v>30</v>
      </c>
      <c r="F28" s="8">
        <f>IF(' جهات'!G347&gt;0,' جهات'!G347,"")</f>
        <v>500000</v>
      </c>
      <c r="G28" s="8">
        <f>IF(' جهات'!H347&gt;0,' جهات'!H347,"")</f>
        <v>500000</v>
      </c>
      <c r="H28" s="177">
        <f>IF(' جهات'!I347&gt;0,' جهات'!I347,"")</f>
        <v>434981.76</v>
      </c>
      <c r="I28" s="8">
        <f>IF(' جهات'!J347&gt;0,' جهات'!J347,"")</f>
        <v>59397.04</v>
      </c>
      <c r="J28" s="167">
        <f t="shared" si="0"/>
        <v>0.86996351999999999</v>
      </c>
      <c r="K28" s="168">
        <f t="shared" si="1"/>
        <v>1.2176177359758147E-2</v>
      </c>
    </row>
    <row r="29" spans="2:11" ht="14.25" customHeight="1" x14ac:dyDescent="0.2">
      <c r="B29" s="347"/>
      <c r="C29" s="345"/>
      <c r="D29" s="22">
        <v>20117002</v>
      </c>
      <c r="E29" s="77" t="s">
        <v>31</v>
      </c>
      <c r="F29" s="8">
        <f>IF(' جهات'!G370&gt;0,' جهات'!G370,"")</f>
        <v>10000</v>
      </c>
      <c r="G29" s="8">
        <f>IF(' جهات'!H370&gt;0,' جهات'!H370,"")</f>
        <v>10000</v>
      </c>
      <c r="H29" s="177">
        <f>IF(' جهات'!I370&gt;0,' جهات'!I370,"")</f>
        <v>4215</v>
      </c>
      <c r="I29" s="8" t="str">
        <f>IF(' جهات'!J370&gt;0,' جهات'!J370,"")</f>
        <v/>
      </c>
      <c r="J29" s="167">
        <f t="shared" si="0"/>
        <v>0.42149999999999999</v>
      </c>
      <c r="K29" s="168">
        <f t="shared" si="1"/>
        <v>1.1798790728921733E-4</v>
      </c>
    </row>
    <row r="30" spans="2:11" ht="14.25" customHeight="1" x14ac:dyDescent="0.2">
      <c r="B30" s="347"/>
      <c r="C30" s="345"/>
      <c r="D30" s="22">
        <v>20117003</v>
      </c>
      <c r="E30" s="77" t="s">
        <v>32</v>
      </c>
      <c r="F30" s="8">
        <f>IF(' جهات'!G261+' جهات'!G288+' جهات'!G312&gt;0,' جهات'!G261+' جهات'!G288+' جهات'!G312,"")</f>
        <v>160000</v>
      </c>
      <c r="G30" s="8">
        <f>IF(' جهات'!H261+' جهات'!H288+' جهات'!H312&gt;0,' جهات'!H261+' جهات'!H288+' جهات'!H312,"")</f>
        <v>170000</v>
      </c>
      <c r="H30" s="177">
        <f>IF(' جهات'!I261+' جهات'!I288+' جهات'!I312&gt;0,' جهات'!I261+' جهات'!I288+' جهات'!I312,"")</f>
        <v>115422.79</v>
      </c>
      <c r="I30" s="8" t="str">
        <f>IF(' جهات'!J261+' جهات'!J288+' جهات'!J312&gt;0,' جهات'!J261+' جهات'!J288+' جهات'!J312,"")</f>
        <v/>
      </c>
      <c r="J30" s="167">
        <f t="shared" si="0"/>
        <v>0.67895758823529406</v>
      </c>
      <c r="K30" s="168">
        <f t="shared" si="1"/>
        <v>3.2309592990706526E-3</v>
      </c>
    </row>
    <row r="31" spans="2:11" x14ac:dyDescent="0.2">
      <c r="B31" s="347"/>
      <c r="C31" s="346" t="s">
        <v>21</v>
      </c>
      <c r="D31" s="346"/>
      <c r="E31" s="346"/>
      <c r="F31" s="60">
        <f>SUM(F28:F30)</f>
        <v>670000</v>
      </c>
      <c r="G31" s="60">
        <f t="shared" ref="G31:I31" si="5">SUM(G28:G30)</f>
        <v>680000</v>
      </c>
      <c r="H31" s="60">
        <f>SUM(H28:H30)</f>
        <v>554619.55000000005</v>
      </c>
      <c r="I31" s="60">
        <f t="shared" si="5"/>
        <v>59397.04</v>
      </c>
      <c r="J31" s="167">
        <f t="shared" si="0"/>
        <v>0.81561698529411775</v>
      </c>
      <c r="K31" s="168">
        <f t="shared" si="1"/>
        <v>1.5525124566118017E-2</v>
      </c>
    </row>
    <row r="32" spans="2:11" x14ac:dyDescent="0.2">
      <c r="B32" s="321" t="s">
        <v>105</v>
      </c>
      <c r="C32" s="321"/>
      <c r="D32" s="321"/>
      <c r="E32" s="321"/>
      <c r="F32" s="61">
        <f t="shared" ref="F32:I32" si="6">F14+F20+F26+F31</f>
        <v>22113775</v>
      </c>
      <c r="G32" s="61">
        <f t="shared" si="6"/>
        <v>22113775</v>
      </c>
      <c r="H32" s="61">
        <f t="shared" si="6"/>
        <v>20328971.589000002</v>
      </c>
      <c r="I32" s="61">
        <f t="shared" si="6"/>
        <v>59397.04</v>
      </c>
      <c r="J32" s="167">
        <f t="shared" si="0"/>
        <v>0.91928997147705449</v>
      </c>
      <c r="K32" s="168">
        <f t="shared" si="1"/>
        <v>0.56905642114544852</v>
      </c>
    </row>
    <row r="33" spans="2:11" x14ac:dyDescent="0.2">
      <c r="B33" s="334" t="s">
        <v>247</v>
      </c>
      <c r="C33" s="334"/>
      <c r="D33" s="334"/>
      <c r="E33" s="334"/>
      <c r="F33" s="334"/>
      <c r="G33" s="334"/>
      <c r="H33" s="334"/>
      <c r="I33" s="334"/>
      <c r="J33" s="334"/>
      <c r="K33" s="334"/>
    </row>
    <row r="34" spans="2:11" x14ac:dyDescent="0.2">
      <c r="B34" s="347">
        <v>11</v>
      </c>
      <c r="C34" s="348" t="s">
        <v>33</v>
      </c>
      <c r="D34" s="348"/>
      <c r="E34" s="348"/>
      <c r="F34" s="348"/>
      <c r="G34" s="348"/>
      <c r="H34" s="348"/>
      <c r="I34" s="348"/>
      <c r="J34" s="348"/>
      <c r="K34" s="348"/>
    </row>
    <row r="35" spans="2:11" ht="14.25" customHeight="1" x14ac:dyDescent="0.2">
      <c r="B35" s="347"/>
      <c r="C35" s="171">
        <v>1</v>
      </c>
      <c r="D35" s="22">
        <v>21101001</v>
      </c>
      <c r="E35" s="77" t="s">
        <v>33</v>
      </c>
      <c r="F35" s="8">
        <f>IF(' جهات'!G385&gt;0,' جهات'!G385,"")</f>
        <v>320000</v>
      </c>
      <c r="G35" s="8">
        <f>IF(' جهات'!H385&gt;0,' جهات'!H385,"")</f>
        <v>355000</v>
      </c>
      <c r="H35" s="177">
        <f>IF(' جهات'!I385&gt;0,' جهات'!I385,"")</f>
        <v>354687.69799999997</v>
      </c>
      <c r="I35" s="8" t="str">
        <f>IF(' جهات'!J385&gt;0,' جهات'!J385,"")</f>
        <v/>
      </c>
      <c r="J35" s="167">
        <f t="shared" si="0"/>
        <v>0.99912027605633791</v>
      </c>
      <c r="K35" s="168">
        <f t="shared" si="1"/>
        <v>9.9285549770462434E-3</v>
      </c>
    </row>
    <row r="36" spans="2:11" x14ac:dyDescent="0.2">
      <c r="B36" s="347"/>
      <c r="C36" s="346" t="s">
        <v>21</v>
      </c>
      <c r="D36" s="346"/>
      <c r="E36" s="346"/>
      <c r="F36" s="60">
        <f>SUM(F35)</f>
        <v>320000</v>
      </c>
      <c r="G36" s="60">
        <f t="shared" ref="G36:I36" si="7">SUM(G35)</f>
        <v>355000</v>
      </c>
      <c r="H36" s="60">
        <f>SUM(H35)</f>
        <v>354687.69799999997</v>
      </c>
      <c r="I36" s="60">
        <f t="shared" si="7"/>
        <v>0</v>
      </c>
      <c r="J36" s="167">
        <f t="shared" si="0"/>
        <v>0.99912027605633791</v>
      </c>
      <c r="K36" s="168">
        <f t="shared" si="1"/>
        <v>9.9285549770462434E-3</v>
      </c>
    </row>
    <row r="37" spans="2:11" x14ac:dyDescent="0.2">
      <c r="B37" s="347"/>
      <c r="C37" s="348" t="s">
        <v>34</v>
      </c>
      <c r="D37" s="348"/>
      <c r="E37" s="348"/>
      <c r="F37" s="348"/>
      <c r="G37" s="348"/>
      <c r="H37" s="348"/>
      <c r="I37" s="348"/>
      <c r="J37" s="348"/>
      <c r="K37" s="348"/>
    </row>
    <row r="38" spans="2:11" ht="14.25" customHeight="1" x14ac:dyDescent="0.2">
      <c r="B38" s="347"/>
      <c r="C38" s="171">
        <v>2</v>
      </c>
      <c r="D38" s="22">
        <v>21102001</v>
      </c>
      <c r="E38" s="77" t="s">
        <v>34</v>
      </c>
      <c r="F38" s="8">
        <f>IF(' جهات'!G386&gt;0,' جهات'!G386,"")</f>
        <v>1900000</v>
      </c>
      <c r="G38" s="8">
        <f>IF(' جهات'!H386&gt;0,' جهات'!H386,"")</f>
        <v>1900000</v>
      </c>
      <c r="H38" s="177">
        <f>IF(' جهات'!I386&gt;0,' جهات'!I386,"")</f>
        <v>1875770.15</v>
      </c>
      <c r="I38" s="8" t="str">
        <f>IF(' جهات'!J386&gt;0,' جهات'!J386,"")</f>
        <v/>
      </c>
      <c r="J38" s="167">
        <f t="shared" si="0"/>
        <v>0.98724744736842096</v>
      </c>
      <c r="K38" s="168">
        <f t="shared" si="1"/>
        <v>5.2507282219236368E-2</v>
      </c>
    </row>
    <row r="39" spans="2:11" x14ac:dyDescent="0.2">
      <c r="B39" s="347"/>
      <c r="C39" s="346" t="s">
        <v>21</v>
      </c>
      <c r="D39" s="346"/>
      <c r="E39" s="346"/>
      <c r="F39" s="60">
        <f>SUM(F38)</f>
        <v>1900000</v>
      </c>
      <c r="G39" s="60">
        <f t="shared" ref="G39:I39" si="8">SUM(G38)</f>
        <v>1900000</v>
      </c>
      <c r="H39" s="60">
        <f t="shared" si="8"/>
        <v>1875770.15</v>
      </c>
      <c r="I39" s="60">
        <f t="shared" si="8"/>
        <v>0</v>
      </c>
      <c r="J39" s="167">
        <f t="shared" si="0"/>
        <v>0.98724744736842096</v>
      </c>
      <c r="K39" s="168">
        <f t="shared" si="1"/>
        <v>5.2507282219236368E-2</v>
      </c>
    </row>
    <row r="40" spans="2:11" x14ac:dyDescent="0.2">
      <c r="B40" s="347"/>
      <c r="C40" s="348" t="s">
        <v>35</v>
      </c>
      <c r="D40" s="348"/>
      <c r="E40" s="348"/>
      <c r="F40" s="348"/>
      <c r="G40" s="348"/>
      <c r="H40" s="348"/>
      <c r="I40" s="348"/>
      <c r="J40" s="348"/>
      <c r="K40" s="348"/>
    </row>
    <row r="41" spans="2:11" ht="14.25" customHeight="1" x14ac:dyDescent="0.2">
      <c r="B41" s="347"/>
      <c r="C41" s="171">
        <v>3</v>
      </c>
      <c r="D41" s="22">
        <v>21103001</v>
      </c>
      <c r="E41" s="77" t="s">
        <v>35</v>
      </c>
      <c r="F41" s="8">
        <f>IF(' جهات'!G387&gt;0,' جهات'!G387,"")</f>
        <v>1200000</v>
      </c>
      <c r="G41" s="8">
        <f>IF(' جهات'!H387&gt;0,' جهات'!H387,"")</f>
        <v>1200000</v>
      </c>
      <c r="H41" s="177">
        <f>IF(' جهات'!I387&gt;0,' جهات'!I387,"")</f>
        <v>862388.85900000005</v>
      </c>
      <c r="I41" s="8" t="str">
        <f>IF(' جهات'!J387&gt;0,' جهات'!J387,"")</f>
        <v/>
      </c>
      <c r="J41" s="167">
        <f t="shared" si="0"/>
        <v>0.7186573825</v>
      </c>
      <c r="K41" s="168">
        <f t="shared" si="1"/>
        <v>2.4140321884447431E-2</v>
      </c>
    </row>
    <row r="42" spans="2:11" x14ac:dyDescent="0.2">
      <c r="B42" s="347"/>
      <c r="C42" s="346" t="s">
        <v>21</v>
      </c>
      <c r="D42" s="346"/>
      <c r="E42" s="346"/>
      <c r="F42" s="60">
        <f>SUM(F41)</f>
        <v>1200000</v>
      </c>
      <c r="G42" s="60">
        <f t="shared" ref="G42:I42" si="9">SUM(G41)</f>
        <v>1200000</v>
      </c>
      <c r="H42" s="60">
        <f t="shared" si="9"/>
        <v>862388.85900000005</v>
      </c>
      <c r="I42" s="60">
        <f t="shared" si="9"/>
        <v>0</v>
      </c>
      <c r="J42" s="167">
        <f t="shared" si="0"/>
        <v>0.7186573825</v>
      </c>
      <c r="K42" s="168">
        <f t="shared" si="1"/>
        <v>2.4140321884447431E-2</v>
      </c>
    </row>
    <row r="43" spans="2:11" x14ac:dyDescent="0.2">
      <c r="B43" s="347"/>
      <c r="C43" s="348" t="s">
        <v>36</v>
      </c>
      <c r="D43" s="348"/>
      <c r="E43" s="348"/>
      <c r="F43" s="348"/>
      <c r="G43" s="348"/>
      <c r="H43" s="348"/>
      <c r="I43" s="348"/>
      <c r="J43" s="348"/>
      <c r="K43" s="348"/>
    </row>
    <row r="44" spans="2:11" ht="14.25" customHeight="1" x14ac:dyDescent="0.2">
      <c r="B44" s="347"/>
      <c r="C44" s="171">
        <v>4</v>
      </c>
      <c r="D44" s="22">
        <v>21104001</v>
      </c>
      <c r="E44" s="77" t="s">
        <v>36</v>
      </c>
      <c r="F44" s="8">
        <f>IF(' جهات'!G388&gt;0,' جهات'!G388,"")</f>
        <v>30000</v>
      </c>
      <c r="G44" s="8">
        <f>IF(' جهات'!H388&gt;0,' جهات'!H388,"")</f>
        <v>30000</v>
      </c>
      <c r="H44" s="177" t="str">
        <f>IF(' جهات'!I388&gt;0,' جهات'!I388,"")</f>
        <v/>
      </c>
      <c r="I44" s="8" t="str">
        <f>IF(' جهات'!J388&gt;0,' جهات'!J388,"")</f>
        <v/>
      </c>
      <c r="J44" s="167" t="str">
        <f t="shared" si="0"/>
        <v/>
      </c>
      <c r="K44" s="168" t="str">
        <f t="shared" si="1"/>
        <v/>
      </c>
    </row>
    <row r="45" spans="2:11" x14ac:dyDescent="0.2">
      <c r="B45" s="347"/>
      <c r="C45" s="346" t="s">
        <v>21</v>
      </c>
      <c r="D45" s="346"/>
      <c r="E45" s="346"/>
      <c r="F45" s="60">
        <f>SUM(F44)</f>
        <v>30000</v>
      </c>
      <c r="G45" s="60">
        <f t="shared" ref="G45:I45" si="10">SUM(G44)</f>
        <v>30000</v>
      </c>
      <c r="H45" s="60">
        <f t="shared" si="10"/>
        <v>0</v>
      </c>
      <c r="I45" s="60">
        <f t="shared" si="10"/>
        <v>0</v>
      </c>
      <c r="J45" s="167">
        <f t="shared" si="0"/>
        <v>0</v>
      </c>
      <c r="K45" s="168">
        <f t="shared" si="1"/>
        <v>0</v>
      </c>
    </row>
    <row r="46" spans="2:11" x14ac:dyDescent="0.2">
      <c r="B46" s="347"/>
      <c r="C46" s="348" t="s">
        <v>37</v>
      </c>
      <c r="D46" s="348"/>
      <c r="E46" s="348"/>
      <c r="F46" s="348"/>
      <c r="G46" s="348"/>
      <c r="H46" s="348"/>
      <c r="I46" s="348"/>
      <c r="J46" s="348"/>
      <c r="K46" s="348"/>
    </row>
    <row r="47" spans="2:11" ht="14.25" customHeight="1" x14ac:dyDescent="0.2">
      <c r="B47" s="347"/>
      <c r="C47" s="171">
        <v>5</v>
      </c>
      <c r="D47" s="22">
        <v>21105001</v>
      </c>
      <c r="E47" s="77" t="s">
        <v>37</v>
      </c>
      <c r="F47" s="8">
        <f>IF(' جهات'!G389&gt;0,' جهات'!G389,"")</f>
        <v>1000000</v>
      </c>
      <c r="G47" s="8">
        <f>IF(' جهات'!H389&gt;0,' جهات'!H389,"")</f>
        <v>965000</v>
      </c>
      <c r="H47" s="177">
        <f>IF(' جهات'!I389&gt;0,' جهات'!I389,"")</f>
        <v>852095.99</v>
      </c>
      <c r="I47" s="8" t="str">
        <f>IF(' جهات'!J389&gt;0,' جهات'!J389,"")</f>
        <v/>
      </c>
      <c r="J47" s="167">
        <f t="shared" si="0"/>
        <v>0.88300102590673579</v>
      </c>
      <c r="K47" s="168">
        <f t="shared" si="1"/>
        <v>2.3852199921621318E-2</v>
      </c>
    </row>
    <row r="48" spans="2:11" x14ac:dyDescent="0.2">
      <c r="B48" s="347"/>
      <c r="C48" s="346" t="s">
        <v>21</v>
      </c>
      <c r="D48" s="346"/>
      <c r="E48" s="346"/>
      <c r="F48" s="60">
        <f>SUM(F47)</f>
        <v>1000000</v>
      </c>
      <c r="G48" s="60">
        <f t="shared" ref="G48:I48" si="11">SUM(G47)</f>
        <v>965000</v>
      </c>
      <c r="H48" s="60">
        <f>SUM(H47)</f>
        <v>852095.99</v>
      </c>
      <c r="I48" s="60">
        <f t="shared" si="11"/>
        <v>0</v>
      </c>
      <c r="J48" s="167">
        <f t="shared" si="0"/>
        <v>0.88300102590673579</v>
      </c>
      <c r="K48" s="168">
        <f t="shared" si="1"/>
        <v>2.3852199921621318E-2</v>
      </c>
    </row>
    <row r="49" spans="2:11" x14ac:dyDescent="0.2">
      <c r="B49" s="321" t="s">
        <v>106</v>
      </c>
      <c r="C49" s="321"/>
      <c r="D49" s="321"/>
      <c r="E49" s="321"/>
      <c r="F49" s="61">
        <f>F36+F39+F42+F45+F48</f>
        <v>4450000</v>
      </c>
      <c r="G49" s="61">
        <f t="shared" ref="G49:I49" si="12">G36+G39+G42+G45+G48</f>
        <v>4450000</v>
      </c>
      <c r="H49" s="61">
        <f t="shared" si="12"/>
        <v>3944942.6969999997</v>
      </c>
      <c r="I49" s="61">
        <f t="shared" si="12"/>
        <v>0</v>
      </c>
      <c r="J49" s="167">
        <f t="shared" si="0"/>
        <v>0.88650397685393256</v>
      </c>
      <c r="K49" s="168">
        <f t="shared" si="1"/>
        <v>0.11042835900235135</v>
      </c>
    </row>
    <row r="50" spans="2:11" x14ac:dyDescent="0.2">
      <c r="B50" s="334" t="s">
        <v>248</v>
      </c>
      <c r="C50" s="334"/>
      <c r="D50" s="334"/>
      <c r="E50" s="334"/>
      <c r="F50" s="334"/>
      <c r="G50" s="334"/>
      <c r="H50" s="334"/>
      <c r="I50" s="334"/>
      <c r="J50" s="334"/>
      <c r="K50" s="334"/>
    </row>
    <row r="51" spans="2:11" x14ac:dyDescent="0.2">
      <c r="B51" s="347"/>
      <c r="C51" s="348" t="s">
        <v>265</v>
      </c>
      <c r="D51" s="348"/>
      <c r="E51" s="348"/>
      <c r="F51" s="348"/>
      <c r="G51" s="348"/>
      <c r="H51" s="348"/>
      <c r="I51" s="348"/>
      <c r="J51" s="348"/>
      <c r="K51" s="348"/>
    </row>
    <row r="52" spans="2:11" ht="14.25" customHeight="1" x14ac:dyDescent="0.2">
      <c r="B52" s="347"/>
      <c r="C52" s="345">
        <v>3</v>
      </c>
      <c r="D52" s="23">
        <v>21603003</v>
      </c>
      <c r="E52" s="79" t="s">
        <v>234</v>
      </c>
      <c r="F52" s="8">
        <f>IF(' جهات'!G188&gt;0,' جهات'!G188,"")</f>
        <v>40000</v>
      </c>
      <c r="G52" s="8">
        <f>IF(' جهات'!H188&gt;0,' جهات'!H188,"")</f>
        <v>45000</v>
      </c>
      <c r="H52" s="177">
        <f>IF(' جهات'!I188&gt;0,' جهات'!I188,"")</f>
        <v>5559.61</v>
      </c>
      <c r="I52" s="8">
        <f>IF(' جهات'!J188&gt;0,' جهات'!J188,"")</f>
        <v>35000</v>
      </c>
      <c r="J52" s="167">
        <f t="shared" si="0"/>
        <v>0.12354688888888889</v>
      </c>
      <c r="K52" s="168">
        <f t="shared" si="1"/>
        <v>1.5562674952412944E-4</v>
      </c>
    </row>
    <row r="53" spans="2:11" ht="14.25" customHeight="1" x14ac:dyDescent="0.2">
      <c r="B53" s="347"/>
      <c r="C53" s="345"/>
      <c r="D53" s="23">
        <v>21603004</v>
      </c>
      <c r="E53" s="79" t="s">
        <v>233</v>
      </c>
      <c r="F53" s="8">
        <f>IF(' جهات'!G189&gt;0,' جهات'!G189,"")</f>
        <v>95000</v>
      </c>
      <c r="G53" s="8">
        <f>IF(' جهات'!H189&gt;0,' جهات'!H189,"")</f>
        <v>95000</v>
      </c>
      <c r="H53" s="177">
        <f>IF(' جهات'!I189&gt;0,' جهات'!I189,"")</f>
        <v>3767.9989999999998</v>
      </c>
      <c r="I53" s="8">
        <f>IF(' جهات'!J189&gt;0,' جهات'!J189,"")</f>
        <v>65000</v>
      </c>
      <c r="J53" s="167">
        <f t="shared" si="0"/>
        <v>3.9663147368421053E-2</v>
      </c>
      <c r="K53" s="168">
        <f t="shared" si="1"/>
        <v>1.0547528272309932E-4</v>
      </c>
    </row>
    <row r="54" spans="2:11" ht="14.25" customHeight="1" x14ac:dyDescent="0.2">
      <c r="B54" s="347"/>
      <c r="C54" s="345"/>
      <c r="D54" s="23">
        <v>21603006</v>
      </c>
      <c r="E54" s="79" t="s">
        <v>232</v>
      </c>
      <c r="F54" s="8">
        <f>IF(' جهات'!G190&gt;0,' جهات'!G190,"")</f>
        <v>60000</v>
      </c>
      <c r="G54" s="8">
        <f>IF(' جهات'!H190&gt;0,' جهات'!H190,"")</f>
        <v>55000</v>
      </c>
      <c r="H54" s="177">
        <f>IF(' جهات'!I190&gt;0,' جهات'!I190,"")</f>
        <v>772</v>
      </c>
      <c r="I54" s="8">
        <f>IF(' جهات'!J190&gt;0,' جهات'!J190,"")</f>
        <v>20000</v>
      </c>
      <c r="J54" s="167">
        <f t="shared" si="0"/>
        <v>1.4036363636363637E-2</v>
      </c>
      <c r="K54" s="168">
        <f t="shared" si="1"/>
        <v>2.1610122046803268E-5</v>
      </c>
    </row>
    <row r="55" spans="2:11" x14ac:dyDescent="0.2">
      <c r="B55" s="347"/>
      <c r="C55" s="346" t="s">
        <v>21</v>
      </c>
      <c r="D55" s="346"/>
      <c r="E55" s="346"/>
      <c r="F55" s="60">
        <f t="shared" ref="F55:I55" si="13">SUM(F52:F54)</f>
        <v>195000</v>
      </c>
      <c r="G55" s="60">
        <f t="shared" si="13"/>
        <v>195000</v>
      </c>
      <c r="H55" s="60">
        <f>SUM(H52:H54)</f>
        <v>10099.609</v>
      </c>
      <c r="I55" s="60">
        <f t="shared" si="13"/>
        <v>120000</v>
      </c>
      <c r="J55" s="167">
        <f t="shared" si="0"/>
        <v>5.1792866666666666E-2</v>
      </c>
      <c r="K55" s="168">
        <f t="shared" si="1"/>
        <v>2.8271215429403205E-4</v>
      </c>
    </row>
    <row r="56" spans="2:11" x14ac:dyDescent="0.2">
      <c r="B56" s="347"/>
      <c r="C56" s="348" t="s">
        <v>107</v>
      </c>
      <c r="D56" s="348"/>
      <c r="E56" s="348"/>
      <c r="F56" s="348"/>
      <c r="G56" s="348"/>
      <c r="H56" s="348"/>
      <c r="I56" s="348"/>
      <c r="J56" s="348"/>
      <c r="K56" s="348"/>
    </row>
    <row r="57" spans="2:11" ht="14.25" customHeight="1" x14ac:dyDescent="0.2">
      <c r="B57" s="347"/>
      <c r="C57" s="345">
        <v>4</v>
      </c>
      <c r="D57" s="22">
        <v>21604001</v>
      </c>
      <c r="E57" s="77" t="s">
        <v>466</v>
      </c>
      <c r="F57" s="8">
        <f>IF(' جهات'!G313&gt;0,' جهات'!G313,"")</f>
        <v>50000</v>
      </c>
      <c r="G57" s="8">
        <f>IF(' جهات'!H313&gt;0,' جهات'!H313,"")</f>
        <v>30000</v>
      </c>
      <c r="H57" s="177">
        <f>IF(' جهات'!I313&gt;0,' جهات'!I313,"")</f>
        <v>21967.065999999999</v>
      </c>
      <c r="I57" s="8">
        <f>IF(' جهات'!J313&gt;0,' جهات'!J313,"")</f>
        <v>4967.25</v>
      </c>
      <c r="J57" s="167">
        <f t="shared" si="0"/>
        <v>0.73223553333333324</v>
      </c>
      <c r="K57" s="168">
        <f t="shared" si="1"/>
        <v>6.1491059231888923E-4</v>
      </c>
    </row>
    <row r="58" spans="2:11" ht="14.25" customHeight="1" x14ac:dyDescent="0.2">
      <c r="B58" s="347"/>
      <c r="C58" s="345"/>
      <c r="D58" s="22">
        <v>21604002</v>
      </c>
      <c r="E58" s="77" t="s">
        <v>467</v>
      </c>
      <c r="F58" s="8">
        <f>IF(' جهات'!G314&gt;0,' جهات'!G314,"")</f>
        <v>60000</v>
      </c>
      <c r="G58" s="8">
        <f>IF(' جهات'!H314&gt;0,' جهات'!H314,"")</f>
        <v>40000</v>
      </c>
      <c r="H58" s="177">
        <f>IF(' جهات'!I314&gt;0,' جهات'!I314,"")</f>
        <v>6936.63</v>
      </c>
      <c r="I58" s="8">
        <f>IF(' جهات'!J314&gt;0,' جهات'!J314,"")</f>
        <v>7280.4750000000004</v>
      </c>
      <c r="J58" s="167">
        <f t="shared" si="0"/>
        <v>0.17341575000000001</v>
      </c>
      <c r="K58" s="168">
        <f t="shared" si="1"/>
        <v>1.9417282499160229E-4</v>
      </c>
    </row>
    <row r="59" spans="2:11" ht="14.25" customHeight="1" x14ac:dyDescent="0.2">
      <c r="B59" s="347"/>
      <c r="C59" s="345"/>
      <c r="D59" s="23">
        <v>21604004</v>
      </c>
      <c r="E59" s="79" t="s">
        <v>235</v>
      </c>
      <c r="F59" s="8">
        <f>IF(' جهات'!G289&gt;0,' جهات'!G289,"")</f>
        <v>5000</v>
      </c>
      <c r="G59" s="8">
        <f>IF(' جهات'!H289&gt;0,' جهات'!H289,"")</f>
        <v>5000</v>
      </c>
      <c r="H59" s="177" t="str">
        <f>IF(' جهات'!I289&gt;0,' جهات'!I289,"")</f>
        <v/>
      </c>
      <c r="I59" s="8" t="str">
        <f>IF(' جهات'!J289&gt;0,' جهات'!J289,"")</f>
        <v/>
      </c>
      <c r="J59" s="167" t="str">
        <f t="shared" si="0"/>
        <v/>
      </c>
      <c r="K59" s="168" t="str">
        <f t="shared" si="1"/>
        <v/>
      </c>
    </row>
    <row r="60" spans="2:11" ht="14.25" customHeight="1" x14ac:dyDescent="0.2">
      <c r="B60" s="347"/>
      <c r="C60" s="345"/>
      <c r="D60" s="23">
        <v>21604010</v>
      </c>
      <c r="E60" s="79" t="s">
        <v>38</v>
      </c>
      <c r="F60" s="8">
        <f>IF(' جهات'!G290&gt;0,' جهات'!G290,"")</f>
        <v>1500</v>
      </c>
      <c r="G60" s="8">
        <f>IF(' جهات'!H290&gt;0,' جهات'!H290,"")</f>
        <v>1500</v>
      </c>
      <c r="H60" s="177">
        <f>IF(' جهات'!I290&gt;0,' جهات'!I290,"")</f>
        <v>238.8</v>
      </c>
      <c r="I60" s="8" t="str">
        <f>IF(' جهات'!J290&gt;0,' جهات'!J290,"")</f>
        <v/>
      </c>
      <c r="J60" s="167">
        <f t="shared" si="0"/>
        <v>0.15920000000000001</v>
      </c>
      <c r="K60" s="168">
        <f t="shared" si="1"/>
        <v>6.6845817937520999E-6</v>
      </c>
    </row>
    <row r="61" spans="2:11" s="37" customFormat="1" ht="14.25" customHeight="1" x14ac:dyDescent="0.2">
      <c r="B61" s="347"/>
      <c r="C61" s="345"/>
      <c r="D61" s="22">
        <v>21604017</v>
      </c>
      <c r="E61" s="79" t="s">
        <v>479</v>
      </c>
      <c r="F61" s="43">
        <f>IF(' جهات'!G315&gt;0,' جهات'!G315,"")</f>
        <v>100000</v>
      </c>
      <c r="G61" s="43">
        <f>IF(' جهات'!H315&gt;0,' جهات'!H315,"")</f>
        <v>140000</v>
      </c>
      <c r="H61" s="177">
        <f>IF(' جهات'!I315&gt;0,' جهات'!I315,"")</f>
        <v>4860.0330000000004</v>
      </c>
      <c r="I61" s="43">
        <f>IF(' جهات'!J315&gt;0,' جهات'!J315,"")</f>
        <v>135139.967</v>
      </c>
      <c r="J61" s="167">
        <f t="shared" si="0"/>
        <v>3.4714521428571433E-2</v>
      </c>
      <c r="K61" s="168">
        <f t="shared" si="1"/>
        <v>1.360439200537454E-4</v>
      </c>
    </row>
    <row r="62" spans="2:11" x14ac:dyDescent="0.2">
      <c r="B62" s="347"/>
      <c r="C62" s="346" t="s">
        <v>21</v>
      </c>
      <c r="D62" s="346"/>
      <c r="E62" s="346"/>
      <c r="F62" s="60">
        <f t="shared" ref="F62:I62" si="14">SUM(F57:F61)</f>
        <v>216500</v>
      </c>
      <c r="G62" s="60">
        <f t="shared" si="14"/>
        <v>216500</v>
      </c>
      <c r="H62" s="60">
        <f>SUM(H57:H61)</f>
        <v>34002.529000000002</v>
      </c>
      <c r="I62" s="60">
        <f t="shared" si="14"/>
        <v>147387.69200000001</v>
      </c>
      <c r="J62" s="167">
        <f t="shared" si="0"/>
        <v>0.15705556120092379</v>
      </c>
      <c r="K62" s="168">
        <f t="shared" si="1"/>
        <v>9.5181191915798909E-4</v>
      </c>
    </row>
    <row r="63" spans="2:11" x14ac:dyDescent="0.2">
      <c r="B63" s="347"/>
      <c r="C63" s="348" t="s">
        <v>267</v>
      </c>
      <c r="D63" s="348"/>
      <c r="E63" s="348"/>
      <c r="F63" s="348"/>
      <c r="G63" s="348"/>
      <c r="H63" s="348"/>
      <c r="I63" s="348"/>
      <c r="J63" s="348"/>
      <c r="K63" s="348"/>
    </row>
    <row r="64" spans="2:11" ht="14.25" customHeight="1" x14ac:dyDescent="0.2">
      <c r="B64" s="347"/>
      <c r="C64" s="171">
        <v>5</v>
      </c>
      <c r="D64" s="22">
        <v>21605001</v>
      </c>
      <c r="E64" s="77" t="s">
        <v>458</v>
      </c>
      <c r="F64" s="8">
        <f>IF(' جهات'!G291&gt;0,' جهات'!G291,"")</f>
        <v>50000</v>
      </c>
      <c r="G64" s="8">
        <f>IF(' جهات'!H291&gt;0,' جهات'!H291,"")</f>
        <v>50000</v>
      </c>
      <c r="H64" s="177">
        <f>IF(' جهات'!I291&gt;0,' جهات'!I291,"")</f>
        <v>2391.7559999999999</v>
      </c>
      <c r="I64" s="8" t="str">
        <f>IF(' جهات'!J291&gt;0,' جهات'!J291,"")</f>
        <v/>
      </c>
      <c r="J64" s="167">
        <f t="shared" si="0"/>
        <v>4.7835119999999995E-2</v>
      </c>
      <c r="K64" s="168">
        <f t="shared" si="1"/>
        <v>6.6950957339603629E-5</v>
      </c>
    </row>
    <row r="65" spans="2:11" x14ac:dyDescent="0.2">
      <c r="B65" s="347"/>
      <c r="C65" s="346" t="s">
        <v>21</v>
      </c>
      <c r="D65" s="346"/>
      <c r="E65" s="346"/>
      <c r="F65" s="60">
        <f t="shared" ref="F65:I65" si="15">SUM(F64:F64)</f>
        <v>50000</v>
      </c>
      <c r="G65" s="60">
        <f t="shared" si="15"/>
        <v>50000</v>
      </c>
      <c r="H65" s="60">
        <f>SUM(H64:H64)</f>
        <v>2391.7559999999999</v>
      </c>
      <c r="I65" s="60">
        <f t="shared" si="15"/>
        <v>0</v>
      </c>
      <c r="J65" s="167">
        <f t="shared" si="0"/>
        <v>4.7835119999999995E-2</v>
      </c>
      <c r="K65" s="168">
        <f t="shared" si="1"/>
        <v>6.6950957339603629E-5</v>
      </c>
    </row>
    <row r="66" spans="2:11" x14ac:dyDescent="0.2">
      <c r="B66" s="347"/>
      <c r="C66" s="348" t="s">
        <v>108</v>
      </c>
      <c r="D66" s="348"/>
      <c r="E66" s="348"/>
      <c r="F66" s="348"/>
      <c r="G66" s="348"/>
      <c r="H66" s="348"/>
      <c r="I66" s="348"/>
      <c r="J66" s="348"/>
      <c r="K66" s="348"/>
    </row>
    <row r="67" spans="2:11" ht="14.25" customHeight="1" x14ac:dyDescent="0.2">
      <c r="B67" s="347"/>
      <c r="C67" s="345">
        <v>6</v>
      </c>
      <c r="D67" s="22">
        <v>21606001</v>
      </c>
      <c r="E67" s="77" t="s">
        <v>39</v>
      </c>
      <c r="F67" s="8">
        <f>IF(' جهات'!G262&gt;0,' جهات'!G262,"")</f>
        <v>30000</v>
      </c>
      <c r="G67" s="8">
        <f>IF(' جهات'!H262&gt;0,' جهات'!H262,"")</f>
        <v>30000</v>
      </c>
      <c r="H67" s="177" t="str">
        <f>IF(' جهات'!I262&gt;0,' جهات'!I262,"")</f>
        <v/>
      </c>
      <c r="I67" s="8" t="str">
        <f>IF(' جهات'!J262&gt;0,' جهات'!J262,"")</f>
        <v/>
      </c>
      <c r="J67" s="167" t="str">
        <f t="shared" si="0"/>
        <v/>
      </c>
      <c r="K67" s="168" t="str">
        <f t="shared" si="1"/>
        <v/>
      </c>
    </row>
    <row r="68" spans="2:11" ht="14.25" customHeight="1" x14ac:dyDescent="0.2">
      <c r="B68" s="347"/>
      <c r="C68" s="345"/>
      <c r="D68" s="22">
        <v>21606002</v>
      </c>
      <c r="E68" s="77" t="s">
        <v>40</v>
      </c>
      <c r="F68" s="8">
        <f>IF(' جهات'!G175&gt;0,' جهات'!G168,"")</f>
        <v>7000</v>
      </c>
      <c r="G68" s="8">
        <f>IF(' جهات'!H175&gt;0,' جهات'!H168,"")</f>
        <v>7000</v>
      </c>
      <c r="H68" s="177" t="str">
        <f>IF(' جهات'!I175&gt;0,' جهات'!I168,"")</f>
        <v/>
      </c>
      <c r="I68" s="8">
        <f>IF(' جهات'!J175&gt;0,' جهات'!J168,"")</f>
        <v>0</v>
      </c>
      <c r="J68" s="167" t="str">
        <f t="shared" si="0"/>
        <v/>
      </c>
      <c r="K68" s="168" t="str">
        <f t="shared" si="1"/>
        <v/>
      </c>
    </row>
    <row r="69" spans="2:11" ht="14.25" customHeight="1" x14ac:dyDescent="0.2">
      <c r="B69" s="347"/>
      <c r="C69" s="345"/>
      <c r="D69" s="22">
        <v>21606003</v>
      </c>
      <c r="E69" s="77" t="s">
        <v>41</v>
      </c>
      <c r="F69" s="8">
        <f>IF(' جهات'!G11&gt;0,' جهات'!G11,"")</f>
        <v>500</v>
      </c>
      <c r="G69" s="8">
        <f>IF(' جهات'!H11&gt;0,' جهات'!H11,"")</f>
        <v>500</v>
      </c>
      <c r="H69" s="177" t="str">
        <f>IF(' جهات'!I11&gt;0,' جهات'!I11,"")</f>
        <v/>
      </c>
      <c r="I69" s="8" t="str">
        <f>IF(' جهات'!J11&gt;0,' جهات'!J11,"")</f>
        <v/>
      </c>
      <c r="J69" s="167" t="str">
        <f t="shared" si="0"/>
        <v/>
      </c>
      <c r="K69" s="168" t="str">
        <f t="shared" si="1"/>
        <v/>
      </c>
    </row>
    <row r="70" spans="2:11" x14ac:dyDescent="0.2">
      <c r="B70" s="347"/>
      <c r="C70" s="346" t="s">
        <v>21</v>
      </c>
      <c r="D70" s="346"/>
      <c r="E70" s="346"/>
      <c r="F70" s="60">
        <f>SUM(F67:F69)</f>
        <v>37500</v>
      </c>
      <c r="G70" s="60">
        <f t="shared" ref="G70:I70" si="16">SUM(G67:G69)</f>
        <v>37500</v>
      </c>
      <c r="H70" s="60">
        <f t="shared" si="16"/>
        <v>0</v>
      </c>
      <c r="I70" s="60">
        <f t="shared" si="16"/>
        <v>0</v>
      </c>
      <c r="J70" s="167">
        <f t="shared" si="0"/>
        <v>0</v>
      </c>
      <c r="K70" s="168">
        <f t="shared" si="1"/>
        <v>0</v>
      </c>
    </row>
    <row r="71" spans="2:11" x14ac:dyDescent="0.2">
      <c r="B71" s="347"/>
      <c r="C71" s="348" t="s">
        <v>268</v>
      </c>
      <c r="D71" s="348"/>
      <c r="E71" s="348"/>
      <c r="F71" s="348"/>
      <c r="G71" s="348"/>
      <c r="H71" s="348"/>
      <c r="I71" s="348"/>
      <c r="J71" s="348"/>
      <c r="K71" s="348"/>
    </row>
    <row r="72" spans="2:11" ht="14.25" customHeight="1" x14ac:dyDescent="0.2">
      <c r="B72" s="347"/>
      <c r="C72" s="345">
        <v>7</v>
      </c>
      <c r="D72" s="22">
        <v>21607001</v>
      </c>
      <c r="E72" s="77" t="s">
        <v>42</v>
      </c>
      <c r="F72" s="8">
        <f>IF(' جهات'!G263&gt;0,' جهات'!G263,"")</f>
        <v>70000</v>
      </c>
      <c r="G72" s="8">
        <f>IF(' جهات'!H263&gt;0,' جهات'!H263,"")</f>
        <v>70000</v>
      </c>
      <c r="H72" s="177">
        <f>IF(' جهات'!I263&gt;0,' جهات'!I263,"")</f>
        <v>1925.52</v>
      </c>
      <c r="I72" s="8">
        <f>IF(' جهات'!J263&gt;0,' جهات'!J263,"")</f>
        <v>8354.75</v>
      </c>
      <c r="J72" s="167">
        <f t="shared" ref="J72:J134" si="17">IFERROR(H72/G72,"")</f>
        <v>2.7507428571428572E-2</v>
      </c>
      <c r="K72" s="168">
        <f t="shared" ref="K72:K134" si="18">IFERROR(H72/$G$351,"")</f>
        <v>5.3899899227410145E-5</v>
      </c>
    </row>
    <row r="73" spans="2:11" ht="14.25" customHeight="1" x14ac:dyDescent="0.2">
      <c r="B73" s="347"/>
      <c r="C73" s="345"/>
      <c r="D73" s="23">
        <v>21607004</v>
      </c>
      <c r="E73" s="79" t="s">
        <v>236</v>
      </c>
      <c r="F73" s="8">
        <f>IF(' جهات'!G264&gt;0,' جهات'!G264,"")</f>
        <v>15000</v>
      </c>
      <c r="G73" s="8">
        <f>IF(' جهات'!H264&gt;0,' جهات'!H264,"")</f>
        <v>15000</v>
      </c>
      <c r="H73" s="177">
        <f>IF(' جهات'!I264&gt;0,' جهات'!I264,"")</f>
        <v>3944.9560000000001</v>
      </c>
      <c r="I73" s="8">
        <f>IF(' جهات'!J264&gt;0,' جهات'!J264,"")</f>
        <v>4165.7439999999997</v>
      </c>
      <c r="J73" s="167">
        <f t="shared" si="17"/>
        <v>0.26299706666666667</v>
      </c>
      <c r="K73" s="168">
        <f t="shared" si="18"/>
        <v>1.1042873138506327E-4</v>
      </c>
    </row>
    <row r="74" spans="2:11" s="37" customFormat="1" ht="14.25" customHeight="1" x14ac:dyDescent="0.2">
      <c r="B74" s="347"/>
      <c r="C74" s="345"/>
      <c r="D74" s="23">
        <v>21607005</v>
      </c>
      <c r="E74" s="131" t="s">
        <v>484</v>
      </c>
      <c r="F74" s="43">
        <f>IF(' جهات'!G274&gt;0,' جهات'!G274,"")</f>
        <v>7000</v>
      </c>
      <c r="G74" s="43">
        <f>IF(' جهات'!H274&gt;0,' جهات'!H274,"")</f>
        <v>7000</v>
      </c>
      <c r="H74" s="177" t="str">
        <f>IF(' جهات'!I274&gt;0,' جهات'!I274,"")</f>
        <v/>
      </c>
      <c r="I74" s="43">
        <f>IF(' جهات'!J274&gt;0,' جهات'!J274,"")</f>
        <v>6999.75</v>
      </c>
      <c r="J74" s="167" t="str">
        <f t="shared" si="17"/>
        <v/>
      </c>
      <c r="K74" s="168" t="str">
        <f t="shared" si="18"/>
        <v/>
      </c>
    </row>
    <row r="75" spans="2:11" x14ac:dyDescent="0.2">
      <c r="B75" s="347"/>
      <c r="C75" s="346" t="s">
        <v>21</v>
      </c>
      <c r="D75" s="346"/>
      <c r="E75" s="346"/>
      <c r="F75" s="60">
        <f t="shared" ref="F75:I75" si="19">SUM(F72:F74)</f>
        <v>92000</v>
      </c>
      <c r="G75" s="60">
        <f t="shared" si="19"/>
        <v>92000</v>
      </c>
      <c r="H75" s="60">
        <f>SUM(H72:H74)</f>
        <v>5870.4760000000006</v>
      </c>
      <c r="I75" s="60">
        <f t="shared" si="19"/>
        <v>19520.243999999999</v>
      </c>
      <c r="J75" s="167">
        <f t="shared" si="17"/>
        <v>6.3809521739130445E-2</v>
      </c>
      <c r="K75" s="168">
        <f t="shared" si="18"/>
        <v>1.6432863061247342E-4</v>
      </c>
    </row>
    <row r="76" spans="2:11" x14ac:dyDescent="0.2">
      <c r="B76" s="347"/>
      <c r="C76" s="348" t="s">
        <v>301</v>
      </c>
      <c r="D76" s="348"/>
      <c r="E76" s="348"/>
      <c r="F76" s="348"/>
      <c r="G76" s="348"/>
      <c r="H76" s="348"/>
      <c r="I76" s="348"/>
      <c r="J76" s="348"/>
      <c r="K76" s="348"/>
    </row>
    <row r="77" spans="2:11" ht="14.25" customHeight="1" x14ac:dyDescent="0.2">
      <c r="B77" s="347"/>
      <c r="C77" s="345">
        <v>9</v>
      </c>
      <c r="D77" s="22">
        <v>21609001</v>
      </c>
      <c r="E77" s="77" t="s">
        <v>266</v>
      </c>
      <c r="F77" s="8">
        <f>IF(' جهات'!G292&gt;0,' جهات'!G292,"")</f>
        <v>15000</v>
      </c>
      <c r="G77" s="8">
        <f>IF(' جهات'!H292&gt;0,' جهات'!H292,"")</f>
        <v>15000</v>
      </c>
      <c r="H77" s="177">
        <f>IF(' جهات'!I292&gt;0,' جهات'!I292,"")</f>
        <v>715.5</v>
      </c>
      <c r="I77" s="8" t="str">
        <f>IF(' جهات'!J292&gt;0,' جهات'!J292,"")</f>
        <v/>
      </c>
      <c r="J77" s="167">
        <f t="shared" si="17"/>
        <v>4.7699999999999999E-2</v>
      </c>
      <c r="K77" s="168">
        <f t="shared" si="18"/>
        <v>2.0028552233792408E-5</v>
      </c>
    </row>
    <row r="78" spans="2:11" ht="14.25" customHeight="1" x14ac:dyDescent="0.2">
      <c r="B78" s="347"/>
      <c r="C78" s="345"/>
      <c r="D78" s="22">
        <v>21609002</v>
      </c>
      <c r="E78" s="77" t="s">
        <v>460</v>
      </c>
      <c r="F78" s="8">
        <f>IF(' جهات'!G293&gt;0,' جهات'!G293,"")</f>
        <v>25000</v>
      </c>
      <c r="G78" s="8">
        <f>IF(' جهات'!H293&gt;0,' جهات'!H293,"")</f>
        <v>25000</v>
      </c>
      <c r="H78" s="177" t="str">
        <f>IF(' جهات'!I293&gt;0,' جهات'!I293,"")</f>
        <v/>
      </c>
      <c r="I78" s="8" t="str">
        <f>IF(' جهات'!J293&gt;0,' جهات'!J293,"")</f>
        <v/>
      </c>
      <c r="J78" s="167" t="str">
        <f t="shared" si="17"/>
        <v/>
      </c>
      <c r="K78" s="168" t="str">
        <f t="shared" si="18"/>
        <v/>
      </c>
    </row>
    <row r="79" spans="2:11" x14ac:dyDescent="0.2">
      <c r="B79" s="347"/>
      <c r="C79" s="346" t="s">
        <v>21</v>
      </c>
      <c r="D79" s="346"/>
      <c r="E79" s="346"/>
      <c r="F79" s="60">
        <f t="shared" ref="F79:I79" si="20">SUM(F77:F78)</f>
        <v>40000</v>
      </c>
      <c r="G79" s="60">
        <f t="shared" si="20"/>
        <v>40000</v>
      </c>
      <c r="H79" s="60">
        <f>SUM(H77:H78)</f>
        <v>715.5</v>
      </c>
      <c r="I79" s="60">
        <f t="shared" si="20"/>
        <v>0</v>
      </c>
      <c r="J79" s="167">
        <f t="shared" si="17"/>
        <v>1.7887500000000001E-2</v>
      </c>
      <c r="K79" s="168">
        <f t="shared" si="18"/>
        <v>2.0028552233792408E-5</v>
      </c>
    </row>
    <row r="80" spans="2:11" x14ac:dyDescent="0.2">
      <c r="B80" s="347"/>
      <c r="C80" s="348" t="s">
        <v>269</v>
      </c>
      <c r="D80" s="348"/>
      <c r="E80" s="348"/>
      <c r="F80" s="348"/>
      <c r="G80" s="348"/>
      <c r="H80" s="348"/>
      <c r="I80" s="348"/>
      <c r="J80" s="348"/>
      <c r="K80" s="348"/>
    </row>
    <row r="81" spans="2:11" x14ac:dyDescent="0.2">
      <c r="B81" s="347"/>
      <c r="C81" s="171">
        <v>10</v>
      </c>
      <c r="D81" s="23">
        <v>21610001</v>
      </c>
      <c r="E81" s="79" t="s">
        <v>270</v>
      </c>
      <c r="F81" s="8">
        <f>IF(' جهات'!G294&gt;0,' جهات'!G294,"")</f>
        <v>4000</v>
      </c>
      <c r="G81" s="8">
        <f>IF(' جهات'!H294&gt;0,' جهات'!H294,"")</f>
        <v>4000</v>
      </c>
      <c r="H81" s="177" t="str">
        <f>IF(' جهات'!I294&gt;0,' جهات'!I294,"")</f>
        <v/>
      </c>
      <c r="I81" s="8" t="str">
        <f>IF(' جهات'!J294&gt;0,' جهات'!J294,"")</f>
        <v/>
      </c>
      <c r="J81" s="167" t="str">
        <f t="shared" si="17"/>
        <v/>
      </c>
      <c r="K81" s="168" t="str">
        <f t="shared" si="18"/>
        <v/>
      </c>
    </row>
    <row r="82" spans="2:11" x14ac:dyDescent="0.2">
      <c r="B82" s="347"/>
      <c r="C82" s="346" t="s">
        <v>21</v>
      </c>
      <c r="D82" s="346"/>
      <c r="E82" s="346"/>
      <c r="F82" s="60">
        <f>SUM(F81)</f>
        <v>4000</v>
      </c>
      <c r="G82" s="60">
        <f t="shared" ref="G82:I82" si="21">SUM(G81)</f>
        <v>4000</v>
      </c>
      <c r="H82" s="60">
        <f t="shared" si="21"/>
        <v>0</v>
      </c>
      <c r="I82" s="60">
        <f t="shared" si="21"/>
        <v>0</v>
      </c>
      <c r="J82" s="167">
        <f t="shared" si="17"/>
        <v>0</v>
      </c>
      <c r="K82" s="168">
        <f t="shared" si="18"/>
        <v>0</v>
      </c>
    </row>
    <row r="83" spans="2:11" x14ac:dyDescent="0.2">
      <c r="B83" s="321" t="s">
        <v>109</v>
      </c>
      <c r="C83" s="321"/>
      <c r="D83" s="321"/>
      <c r="E83" s="321"/>
      <c r="F83" s="61">
        <f>+F55+F62+F65+F70+F75+F79+F82</f>
        <v>635000</v>
      </c>
      <c r="G83" s="61">
        <f>+G55+G62+G65+G70+G75+G79+G82</f>
        <v>635000</v>
      </c>
      <c r="H83" s="61">
        <f>+H55+H62+H65+H70+H75+H79+H82</f>
        <v>53079.87000000001</v>
      </c>
      <c r="I83" s="61">
        <f>+I55+I62+I65+I70+I75+I79+I82</f>
        <v>286907.93600000005</v>
      </c>
      <c r="J83" s="167">
        <f t="shared" si="17"/>
        <v>8.3590346456692929E-2</v>
      </c>
      <c r="K83" s="168">
        <f t="shared" si="18"/>
        <v>1.4858322136378907E-3</v>
      </c>
    </row>
    <row r="84" spans="2:11" x14ac:dyDescent="0.2">
      <c r="B84" s="334" t="s">
        <v>249</v>
      </c>
      <c r="C84" s="334"/>
      <c r="D84" s="334"/>
      <c r="E84" s="334"/>
      <c r="F84" s="334"/>
      <c r="G84" s="334"/>
      <c r="H84" s="334"/>
      <c r="I84" s="334"/>
      <c r="J84" s="334"/>
      <c r="K84" s="334"/>
    </row>
    <row r="85" spans="2:11" x14ac:dyDescent="0.2">
      <c r="B85" s="347">
        <v>26</v>
      </c>
      <c r="C85" s="348" t="s">
        <v>110</v>
      </c>
      <c r="D85" s="348"/>
      <c r="E85" s="348"/>
      <c r="F85" s="348"/>
      <c r="G85" s="348"/>
      <c r="H85" s="348"/>
      <c r="I85" s="348"/>
      <c r="J85" s="348"/>
      <c r="K85" s="348"/>
    </row>
    <row r="86" spans="2:11" ht="14.25" customHeight="1" x14ac:dyDescent="0.2">
      <c r="B86" s="347"/>
      <c r="C86" s="345">
        <v>1</v>
      </c>
      <c r="D86" s="22">
        <v>22601001</v>
      </c>
      <c r="E86" s="77" t="s">
        <v>243</v>
      </c>
      <c r="F86" s="8">
        <f>IF(' جهات'!G45+' جهات'!G63+' جهات'!G72+' جهات'!G104+' جهات'!G138+' جهات'!G169+' جهات'!G205+' جهات'!G120&gt;0,' جهات'!G45+' جهات'!G63+' جهات'!G72+' جهات'!G104+' جهات'!G138+' جهات'!G169+' جهات'!G205+' جهات'!G120,"")</f>
        <v>37000</v>
      </c>
      <c r="G86" s="8">
        <f>IF(' جهات'!H45+' جهات'!H63+' جهات'!H72+' جهات'!H104+' جهات'!H138+' جهات'!H169+' جهات'!H205+' جهات'!H120&gt;0,' جهات'!H45+' جهات'!H63+' جهات'!H72+' جهات'!H104+' جهات'!H138+' جهات'!H169+' جهات'!H205+' جهات'!H120,"")</f>
        <v>37000</v>
      </c>
      <c r="H86" s="177">
        <f>IF(' جهات'!I45+' جهات'!I63+' جهات'!I72+' جهات'!I104+' جهات'!I138+' جهات'!I169+' جهات'!I205+' جهات'!I120&gt;0,' جهات'!I45+' جهات'!I63+' جهات'!I72+' جهات'!I104+' جهات'!I138+' جهات'!I169+' جهات'!I205+' جهات'!I120,"")</f>
        <v>2505.5500000000002</v>
      </c>
      <c r="I86" s="8" t="str">
        <f>IF(' جهات'!J45+' جهات'!J63+' جهات'!J72+' جهات'!J104+' جهات'!J138+' جهات'!J169+' جهات'!J205+' جهات'!J120&gt;0,' جهات'!J45+' جهات'!J63+' جهات'!J72+' جهات'!J104+' جهات'!J138+' جهات'!J169+' جهات'!J205+' جهات'!J120,"")</f>
        <v/>
      </c>
      <c r="J86" s="167">
        <f t="shared" si="17"/>
        <v>6.7717567567567569E-2</v>
      </c>
      <c r="K86" s="168">
        <f t="shared" si="18"/>
        <v>7.0136322920165726E-5</v>
      </c>
    </row>
    <row r="87" spans="2:11" s="37" customFormat="1" ht="14.25" customHeight="1" x14ac:dyDescent="0.2">
      <c r="B87" s="347"/>
      <c r="C87" s="345"/>
      <c r="D87" s="95">
        <v>22601002</v>
      </c>
      <c r="E87" s="131" t="s">
        <v>480</v>
      </c>
      <c r="F87" s="43">
        <f>IF(' جهات'!G212&gt;0,' جهات'!G212,"")</f>
        <v>5000</v>
      </c>
      <c r="G87" s="43">
        <f>IF(' جهات'!H212&gt;0,' جهات'!H212,"")</f>
        <v>5000</v>
      </c>
      <c r="H87" s="177" t="str">
        <f>IF(' جهات'!I212&gt;0,' جهات'!I212,"")</f>
        <v/>
      </c>
      <c r="I87" s="43" t="str">
        <f>IF(' جهات'!J212&gt;0,' جهات'!J212,"")</f>
        <v/>
      </c>
      <c r="J87" s="167" t="str">
        <f t="shared" si="17"/>
        <v/>
      </c>
      <c r="K87" s="168" t="str">
        <f t="shared" si="18"/>
        <v/>
      </c>
    </row>
    <row r="88" spans="2:11" ht="14.25" customHeight="1" x14ac:dyDescent="0.2">
      <c r="B88" s="347"/>
      <c r="C88" s="345"/>
      <c r="D88" s="22">
        <v>22601003</v>
      </c>
      <c r="E88" s="77" t="s">
        <v>43</v>
      </c>
      <c r="F88" s="8">
        <f>IF(' جهات'!G170&gt;0,' جهات'!G170,"")</f>
        <v>7000</v>
      </c>
      <c r="G88" s="8">
        <f>IF(' جهات'!H170&gt;0,' جهات'!H170,"")</f>
        <v>7000</v>
      </c>
      <c r="H88" s="177">
        <f>IF(' جهات'!I170&gt;0,' جهات'!I170,"")</f>
        <v>918.75</v>
      </c>
      <c r="I88" s="8">
        <f>IF(' جهات'!J170&gt;0,' جهات'!J170,"")</f>
        <v>393.75</v>
      </c>
      <c r="J88" s="167">
        <f t="shared" si="17"/>
        <v>0.13125000000000001</v>
      </c>
      <c r="K88" s="168">
        <f t="shared" si="18"/>
        <v>2.5718004702720858E-5</v>
      </c>
    </row>
    <row r="89" spans="2:11" ht="14.25" customHeight="1" x14ac:dyDescent="0.2">
      <c r="B89" s="347"/>
      <c r="C89" s="345"/>
      <c r="D89" s="22">
        <v>22601006</v>
      </c>
      <c r="E89" s="77" t="s">
        <v>242</v>
      </c>
      <c r="F89" s="8">
        <f>IF(' جهات'!G171&gt;0,' جهات'!G171,"")</f>
        <v>15000</v>
      </c>
      <c r="G89" s="8">
        <f>IF(' جهات'!H171&gt;0,' جهات'!H171,"")</f>
        <v>15000</v>
      </c>
      <c r="H89" s="177" t="str">
        <f>IF(' جهات'!I171&gt;0,' جهات'!I171,"")</f>
        <v/>
      </c>
      <c r="I89" s="8" t="str">
        <f>IF(' جهات'!J171&gt;0,' جهات'!J171,"")</f>
        <v/>
      </c>
      <c r="J89" s="167" t="str">
        <f t="shared" si="17"/>
        <v/>
      </c>
      <c r="K89" s="168" t="str">
        <f t="shared" si="18"/>
        <v/>
      </c>
    </row>
    <row r="90" spans="2:11" ht="14.25" customHeight="1" x14ac:dyDescent="0.2">
      <c r="B90" s="347"/>
      <c r="C90" s="345"/>
      <c r="D90" s="23">
        <v>22601009</v>
      </c>
      <c r="E90" s="79" t="s">
        <v>44</v>
      </c>
      <c r="F90" s="8">
        <f>IF(' جهات'!G172&gt;0,' جهات'!G172,"")</f>
        <v>5000</v>
      </c>
      <c r="G90" s="8">
        <f>IF(' جهات'!H172&gt;0,' جهات'!H172,"")</f>
        <v>5000</v>
      </c>
      <c r="H90" s="177">
        <f>IF(' جهات'!I172&gt;0,' جهات'!I172,"")</f>
        <v>275.69600000000003</v>
      </c>
      <c r="I90" s="8" t="str">
        <f>IF(' جهات'!J172&gt;0,' جهات'!J172,"")</f>
        <v/>
      </c>
      <c r="J90" s="167">
        <f t="shared" si="17"/>
        <v>5.5139200000000006E-2</v>
      </c>
      <c r="K90" s="168">
        <f t="shared" si="18"/>
        <v>7.7173888702272984E-6</v>
      </c>
    </row>
    <row r="91" spans="2:11" x14ac:dyDescent="0.2">
      <c r="B91" s="347"/>
      <c r="C91" s="346" t="s">
        <v>21</v>
      </c>
      <c r="D91" s="346"/>
      <c r="E91" s="346"/>
      <c r="F91" s="60">
        <f>SUM(F86:F90)</f>
        <v>69000</v>
      </c>
      <c r="G91" s="60">
        <f>SUM(G86:G90)</f>
        <v>69000</v>
      </c>
      <c r="H91" s="60">
        <f>SUM(H86:H90)</f>
        <v>3699.9960000000001</v>
      </c>
      <c r="I91" s="60">
        <f>SUM(I86:I90)</f>
        <v>393.75</v>
      </c>
      <c r="J91" s="167">
        <f t="shared" si="17"/>
        <v>5.3623130434782611E-2</v>
      </c>
      <c r="K91" s="168">
        <f t="shared" si="18"/>
        <v>1.0357171649311388E-4</v>
      </c>
    </row>
    <row r="92" spans="2:11" x14ac:dyDescent="0.2">
      <c r="B92" s="347"/>
      <c r="C92" s="348" t="s">
        <v>111</v>
      </c>
      <c r="D92" s="348"/>
      <c r="E92" s="348"/>
      <c r="F92" s="348"/>
      <c r="G92" s="348"/>
      <c r="H92" s="348"/>
      <c r="I92" s="348"/>
      <c r="J92" s="348"/>
      <c r="K92" s="348"/>
    </row>
    <row r="93" spans="2:11" ht="14.25" customHeight="1" x14ac:dyDescent="0.2">
      <c r="B93" s="347"/>
      <c r="C93" s="171">
        <v>2</v>
      </c>
      <c r="D93" s="22">
        <v>22602001</v>
      </c>
      <c r="E93" s="77" t="s">
        <v>45</v>
      </c>
      <c r="F93" s="8">
        <f>IF(' جهات'!G173&gt;0,' جهات'!G173,"")</f>
        <v>100000</v>
      </c>
      <c r="G93" s="8">
        <f>IF(' جهات'!H173&gt;0,' جهات'!H173,"")</f>
        <v>100000</v>
      </c>
      <c r="H93" s="177">
        <f>IF(' جهات'!I173&gt;0,' جهات'!I173,"")</f>
        <v>13125</v>
      </c>
      <c r="I93" s="8" t="str">
        <f>IF(' جهات'!J173&gt;0,' جهات'!J173,"")</f>
        <v/>
      </c>
      <c r="J93" s="167">
        <f t="shared" si="17"/>
        <v>0.13125000000000001</v>
      </c>
      <c r="K93" s="168">
        <f t="shared" si="18"/>
        <v>3.6740006718172658E-4</v>
      </c>
    </row>
    <row r="94" spans="2:11" x14ac:dyDescent="0.2">
      <c r="B94" s="347"/>
      <c r="C94" s="346" t="s">
        <v>21</v>
      </c>
      <c r="D94" s="346"/>
      <c r="E94" s="346"/>
      <c r="F94" s="60">
        <f>SUM(F93)</f>
        <v>100000</v>
      </c>
      <c r="G94" s="60">
        <f t="shared" ref="G94:I94" si="22">SUM(G93)</f>
        <v>100000</v>
      </c>
      <c r="H94" s="60">
        <f t="shared" si="22"/>
        <v>13125</v>
      </c>
      <c r="I94" s="60">
        <f t="shared" si="22"/>
        <v>0</v>
      </c>
      <c r="J94" s="167">
        <f t="shared" si="17"/>
        <v>0.13125000000000001</v>
      </c>
      <c r="K94" s="168">
        <f t="shared" si="18"/>
        <v>3.6740006718172658E-4</v>
      </c>
    </row>
    <row r="95" spans="2:11" x14ac:dyDescent="0.2">
      <c r="B95" s="347"/>
      <c r="C95" s="348" t="s">
        <v>112</v>
      </c>
      <c r="D95" s="348"/>
      <c r="E95" s="348"/>
      <c r="F95" s="348"/>
      <c r="G95" s="348"/>
      <c r="H95" s="348"/>
      <c r="I95" s="348"/>
      <c r="J95" s="348"/>
      <c r="K95" s="348"/>
    </row>
    <row r="96" spans="2:11" ht="14.25" customHeight="1" x14ac:dyDescent="0.2">
      <c r="B96" s="347"/>
      <c r="C96" s="171">
        <v>3</v>
      </c>
      <c r="D96" s="22">
        <v>22603001</v>
      </c>
      <c r="E96" s="77" t="s">
        <v>46</v>
      </c>
      <c r="F96" s="8">
        <f>IF(' جهات'!G174&gt;0,' جهات'!G174,"")</f>
        <v>120000</v>
      </c>
      <c r="G96" s="8">
        <f>IF(' جهات'!H174&gt;0,' جهات'!H174,"")</f>
        <v>120000</v>
      </c>
      <c r="H96" s="177">
        <f>IF(' جهات'!I174&gt;0,' جهات'!I174,"")</f>
        <v>43872.08</v>
      </c>
      <c r="I96" s="8">
        <f>IF(' جهات'!J174&gt;0,' جهات'!J174,"")</f>
        <v>1</v>
      </c>
      <c r="J96" s="167">
        <f t="shared" si="17"/>
        <v>0.36560066666666668</v>
      </c>
      <c r="K96" s="168">
        <f t="shared" si="18"/>
        <v>1.2280842010973015E-3</v>
      </c>
    </row>
    <row r="97" spans="2:11" x14ac:dyDescent="0.2">
      <c r="B97" s="347"/>
      <c r="C97" s="346" t="s">
        <v>21</v>
      </c>
      <c r="D97" s="346"/>
      <c r="E97" s="346"/>
      <c r="F97" s="60">
        <f>SUM(F96)</f>
        <v>120000</v>
      </c>
      <c r="G97" s="60">
        <f t="shared" ref="G97:I97" si="23">SUM(G96)</f>
        <v>120000</v>
      </c>
      <c r="H97" s="60">
        <f t="shared" si="23"/>
        <v>43872.08</v>
      </c>
      <c r="I97" s="60">
        <f t="shared" si="23"/>
        <v>1</v>
      </c>
      <c r="J97" s="167">
        <f t="shared" si="17"/>
        <v>0.36560066666666668</v>
      </c>
      <c r="K97" s="168">
        <f t="shared" si="18"/>
        <v>1.2280842010973015E-3</v>
      </c>
    </row>
    <row r="98" spans="2:11" x14ac:dyDescent="0.2">
      <c r="B98" s="347"/>
      <c r="C98" s="348" t="s">
        <v>113</v>
      </c>
      <c r="D98" s="348"/>
      <c r="E98" s="348"/>
      <c r="F98" s="348"/>
      <c r="G98" s="348"/>
      <c r="H98" s="348"/>
      <c r="I98" s="348"/>
      <c r="J98" s="348"/>
      <c r="K98" s="348"/>
    </row>
    <row r="99" spans="2:11" ht="14.25" customHeight="1" x14ac:dyDescent="0.2">
      <c r="B99" s="347"/>
      <c r="C99" s="171">
        <v>4</v>
      </c>
      <c r="D99" s="22">
        <v>22604001</v>
      </c>
      <c r="E99" s="77" t="s">
        <v>47</v>
      </c>
      <c r="F99" s="8">
        <f>IF(' جهات'!G175&gt;0,' جهات'!G175,"")</f>
        <v>25000</v>
      </c>
      <c r="G99" s="8">
        <f>IF(' جهات'!H175&gt;0,' جهات'!H175,"")</f>
        <v>25000</v>
      </c>
      <c r="H99" s="177" t="str">
        <f>IF(' جهات'!I175&gt;0,' جهات'!I175,"")</f>
        <v/>
      </c>
      <c r="I99" s="8">
        <f>IF(' جهات'!J175&gt;0,' جهات'!J175,"")</f>
        <v>20001</v>
      </c>
      <c r="J99" s="167" t="str">
        <f t="shared" si="17"/>
        <v/>
      </c>
      <c r="K99" s="168" t="str">
        <f t="shared" si="18"/>
        <v/>
      </c>
    </row>
    <row r="100" spans="2:11" x14ac:dyDescent="0.2">
      <c r="B100" s="347"/>
      <c r="C100" s="346" t="s">
        <v>21</v>
      </c>
      <c r="D100" s="346"/>
      <c r="E100" s="346"/>
      <c r="F100" s="60">
        <f>SUM(F99)</f>
        <v>25000</v>
      </c>
      <c r="G100" s="60">
        <f t="shared" ref="G100:I100" si="24">SUM(G99)</f>
        <v>25000</v>
      </c>
      <c r="H100" s="60">
        <f t="shared" si="24"/>
        <v>0</v>
      </c>
      <c r="I100" s="60">
        <f t="shared" si="24"/>
        <v>20001</v>
      </c>
      <c r="J100" s="167">
        <f t="shared" si="17"/>
        <v>0</v>
      </c>
      <c r="K100" s="168">
        <f t="shared" si="18"/>
        <v>0</v>
      </c>
    </row>
    <row r="101" spans="2:11" x14ac:dyDescent="0.2">
      <c r="B101" s="347"/>
      <c r="C101" s="348" t="s">
        <v>114</v>
      </c>
      <c r="D101" s="348"/>
      <c r="E101" s="348"/>
      <c r="F101" s="348"/>
      <c r="G101" s="348"/>
      <c r="H101" s="348"/>
      <c r="I101" s="348"/>
      <c r="J101" s="348"/>
      <c r="K101" s="348"/>
    </row>
    <row r="102" spans="2:11" ht="14.25" customHeight="1" x14ac:dyDescent="0.2">
      <c r="B102" s="347"/>
      <c r="C102" s="345">
        <v>5</v>
      </c>
      <c r="D102" s="22">
        <v>22605002</v>
      </c>
      <c r="E102" s="77" t="s">
        <v>48</v>
      </c>
      <c r="F102" s="8">
        <f>IF(' جهات'!G176&gt;0,' جهات'!G176,"")</f>
        <v>15000</v>
      </c>
      <c r="G102" s="8">
        <f>IF(' جهات'!H176&gt;0,' جهات'!H176,"")</f>
        <v>15000</v>
      </c>
      <c r="H102" s="177" t="str">
        <f>IF(' جهات'!I176&gt;0,' جهات'!I176,"")</f>
        <v/>
      </c>
      <c r="I102" s="8" t="str">
        <f>IF(' جهات'!J176&gt;0,' جهات'!J176,"")</f>
        <v/>
      </c>
      <c r="J102" s="167" t="str">
        <f t="shared" si="17"/>
        <v/>
      </c>
      <c r="K102" s="168" t="str">
        <f t="shared" si="18"/>
        <v/>
      </c>
    </row>
    <row r="103" spans="2:11" ht="14.25" customHeight="1" x14ac:dyDescent="0.2">
      <c r="B103" s="347"/>
      <c r="C103" s="345"/>
      <c r="D103" s="22">
        <v>22605003</v>
      </c>
      <c r="E103" s="77" t="s">
        <v>49</v>
      </c>
      <c r="F103" s="8">
        <f>IF(' جهات'!G177&gt;0,' جهات'!G177,"")</f>
        <v>5000</v>
      </c>
      <c r="G103" s="8">
        <f>IF(' جهات'!H177&gt;0,' جهات'!H177,"")</f>
        <v>5000</v>
      </c>
      <c r="H103" s="177" t="str">
        <f>IF(' جهات'!I177&gt;0,' جهات'!I177,"")</f>
        <v/>
      </c>
      <c r="I103" s="8" t="str">
        <f>IF(' جهات'!J177&gt;0,' جهات'!J177,"")</f>
        <v/>
      </c>
      <c r="J103" s="167" t="str">
        <f t="shared" si="17"/>
        <v/>
      </c>
      <c r="K103" s="168" t="str">
        <f t="shared" si="18"/>
        <v/>
      </c>
    </row>
    <row r="104" spans="2:11" x14ac:dyDescent="0.2">
      <c r="B104" s="347"/>
      <c r="C104" s="346" t="s">
        <v>21</v>
      </c>
      <c r="D104" s="346"/>
      <c r="E104" s="346"/>
      <c r="F104" s="60">
        <f>SUM(F102:F103)</f>
        <v>20000</v>
      </c>
      <c r="G104" s="60">
        <f t="shared" ref="G104:I104" si="25">SUM(G102:G103)</f>
        <v>20000</v>
      </c>
      <c r="H104" s="60">
        <f t="shared" si="25"/>
        <v>0</v>
      </c>
      <c r="I104" s="60">
        <f t="shared" si="25"/>
        <v>0</v>
      </c>
      <c r="J104" s="167">
        <f t="shared" si="17"/>
        <v>0</v>
      </c>
      <c r="K104" s="168">
        <f t="shared" si="18"/>
        <v>0</v>
      </c>
    </row>
    <row r="105" spans="2:11" x14ac:dyDescent="0.2">
      <c r="B105" s="347"/>
      <c r="C105" s="348" t="s">
        <v>50</v>
      </c>
      <c r="D105" s="348"/>
      <c r="E105" s="348"/>
      <c r="F105" s="348"/>
      <c r="G105" s="348"/>
      <c r="H105" s="348"/>
      <c r="I105" s="348"/>
      <c r="J105" s="348"/>
      <c r="K105" s="348"/>
    </row>
    <row r="106" spans="2:11" ht="14.25" customHeight="1" x14ac:dyDescent="0.2">
      <c r="B106" s="347"/>
      <c r="C106" s="171">
        <v>7</v>
      </c>
      <c r="D106" s="22">
        <v>22607001</v>
      </c>
      <c r="E106" s="77" t="s">
        <v>50</v>
      </c>
      <c r="F106" s="8">
        <f>IF(' جهات'!G178&gt;0,' جهات'!G178,"")</f>
        <v>2000</v>
      </c>
      <c r="G106" s="8">
        <f>IF(' جهات'!H178&gt;0,' جهات'!H178,"")</f>
        <v>2000</v>
      </c>
      <c r="H106" s="177" t="str">
        <f>IF(' جهات'!I178&gt;0,' جهات'!I178,"")</f>
        <v/>
      </c>
      <c r="I106" s="8" t="str">
        <f>IF(' جهات'!J178&gt;0,' جهات'!J178,"")</f>
        <v/>
      </c>
      <c r="J106" s="167" t="str">
        <f t="shared" si="17"/>
        <v/>
      </c>
      <c r="K106" s="168" t="str">
        <f t="shared" si="18"/>
        <v/>
      </c>
    </row>
    <row r="107" spans="2:11" x14ac:dyDescent="0.2">
      <c r="B107" s="347"/>
      <c r="C107" s="346" t="s">
        <v>21</v>
      </c>
      <c r="D107" s="346"/>
      <c r="E107" s="346"/>
      <c r="F107" s="60">
        <f>SUM(F106)</f>
        <v>2000</v>
      </c>
      <c r="G107" s="60">
        <f t="shared" ref="G107:I107" si="26">SUM(G106)</f>
        <v>2000</v>
      </c>
      <c r="H107" s="60">
        <f t="shared" si="26"/>
        <v>0</v>
      </c>
      <c r="I107" s="60">
        <f t="shared" si="26"/>
        <v>0</v>
      </c>
      <c r="J107" s="167">
        <f t="shared" si="17"/>
        <v>0</v>
      </c>
      <c r="K107" s="168">
        <f t="shared" si="18"/>
        <v>0</v>
      </c>
    </row>
    <row r="108" spans="2:11" x14ac:dyDescent="0.2">
      <c r="B108" s="347"/>
      <c r="C108" s="348" t="s">
        <v>51</v>
      </c>
      <c r="D108" s="348"/>
      <c r="E108" s="348"/>
      <c r="F108" s="348"/>
      <c r="G108" s="348"/>
      <c r="H108" s="348"/>
      <c r="I108" s="348"/>
      <c r="J108" s="348"/>
      <c r="K108" s="348"/>
    </row>
    <row r="109" spans="2:11" ht="14.25" customHeight="1" x14ac:dyDescent="0.2">
      <c r="B109" s="347"/>
      <c r="C109" s="171">
        <v>8</v>
      </c>
      <c r="D109" s="22">
        <v>22608001</v>
      </c>
      <c r="E109" s="77" t="s">
        <v>51</v>
      </c>
      <c r="F109" s="8">
        <f>IF(' جهات'!G342&gt;0,' جهات'!G342,"")</f>
        <v>90000</v>
      </c>
      <c r="G109" s="8">
        <f>IF(' جهات'!H342&gt;0,' جهات'!H342,"")</f>
        <v>90000</v>
      </c>
      <c r="H109" s="177">
        <f>IF(' جهات'!I342&gt;0,' جهات'!I342,"")</f>
        <v>28000</v>
      </c>
      <c r="I109" s="8" t="str">
        <f>IF(' جهات'!J342&gt;0,' جهات'!J342,"")</f>
        <v/>
      </c>
      <c r="J109" s="167">
        <f t="shared" si="17"/>
        <v>0.31111111111111112</v>
      </c>
      <c r="K109" s="168">
        <f t="shared" si="18"/>
        <v>7.8378680998768334E-4</v>
      </c>
    </row>
    <row r="110" spans="2:11" x14ac:dyDescent="0.2">
      <c r="B110" s="347"/>
      <c r="C110" s="346" t="s">
        <v>21</v>
      </c>
      <c r="D110" s="346"/>
      <c r="E110" s="346"/>
      <c r="F110" s="60">
        <f>SUM(F109)</f>
        <v>90000</v>
      </c>
      <c r="G110" s="60">
        <f t="shared" ref="G110:I110" si="27">SUM(G109)</f>
        <v>90000</v>
      </c>
      <c r="H110" s="60">
        <f t="shared" si="27"/>
        <v>28000</v>
      </c>
      <c r="I110" s="60">
        <f t="shared" si="27"/>
        <v>0</v>
      </c>
      <c r="J110" s="167">
        <f t="shared" si="17"/>
        <v>0.31111111111111112</v>
      </c>
      <c r="K110" s="168">
        <f t="shared" si="18"/>
        <v>7.8378680998768334E-4</v>
      </c>
    </row>
    <row r="111" spans="2:11" x14ac:dyDescent="0.2">
      <c r="B111" s="347"/>
      <c r="C111" s="348" t="s">
        <v>271</v>
      </c>
      <c r="D111" s="348"/>
      <c r="E111" s="348"/>
      <c r="F111" s="348"/>
      <c r="G111" s="348"/>
      <c r="H111" s="348"/>
      <c r="I111" s="348"/>
      <c r="J111" s="348"/>
      <c r="K111" s="348"/>
    </row>
    <row r="112" spans="2:11" x14ac:dyDescent="0.2">
      <c r="B112" s="347"/>
      <c r="C112" s="171">
        <v>9</v>
      </c>
      <c r="D112" s="23">
        <v>22609001</v>
      </c>
      <c r="E112" s="79" t="s">
        <v>271</v>
      </c>
      <c r="F112" s="8">
        <f>IF(' جهات'!G179&gt;0,' جهات'!G179,"")</f>
        <v>5000</v>
      </c>
      <c r="G112" s="8">
        <f>IF(' جهات'!H179&gt;0,' جهات'!H179,"")</f>
        <v>5000</v>
      </c>
      <c r="H112" s="177">
        <f>IF(' جهات'!I179&gt;0,' جهات'!I179,"")</f>
        <v>520</v>
      </c>
      <c r="I112" s="8" t="str">
        <f>IF(' جهات'!J179&gt;0,' جهات'!J179,"")</f>
        <v/>
      </c>
      <c r="J112" s="167">
        <f t="shared" si="17"/>
        <v>0.104</v>
      </c>
      <c r="K112" s="168">
        <f t="shared" si="18"/>
        <v>1.4556040756914119E-5</v>
      </c>
    </row>
    <row r="113" spans="2:11" x14ac:dyDescent="0.2">
      <c r="B113" s="347"/>
      <c r="C113" s="346" t="s">
        <v>21</v>
      </c>
      <c r="D113" s="346"/>
      <c r="E113" s="346"/>
      <c r="F113" s="60">
        <f>SUM(F112)</f>
        <v>5000</v>
      </c>
      <c r="G113" s="60">
        <f t="shared" ref="G113:I113" si="28">SUM(G112)</f>
        <v>5000</v>
      </c>
      <c r="H113" s="60">
        <f t="shared" si="28"/>
        <v>520</v>
      </c>
      <c r="I113" s="60">
        <f t="shared" si="28"/>
        <v>0</v>
      </c>
      <c r="J113" s="167">
        <f t="shared" si="17"/>
        <v>0.104</v>
      </c>
      <c r="K113" s="168">
        <f t="shared" si="18"/>
        <v>1.4556040756914119E-5</v>
      </c>
    </row>
    <row r="114" spans="2:11" x14ac:dyDescent="0.2">
      <c r="B114" s="321" t="s">
        <v>115</v>
      </c>
      <c r="C114" s="321"/>
      <c r="D114" s="321"/>
      <c r="E114" s="321"/>
      <c r="F114" s="61">
        <f>F91+F94+F97+F100+F104+F107+F110+F113</f>
        <v>431000</v>
      </c>
      <c r="G114" s="61">
        <f>G91+G94+G97+G100+G104+G107+G110+G113</f>
        <v>431000</v>
      </c>
      <c r="H114" s="61">
        <f>H91+H94+H97+H100+H104+H107+H110+H113</f>
        <v>89217.076000000001</v>
      </c>
      <c r="I114" s="61">
        <f>I91+I94+I97+I100+I104+I107+I110+I113</f>
        <v>20395.75</v>
      </c>
      <c r="J114" s="167">
        <f t="shared" si="17"/>
        <v>0.20700017633410672</v>
      </c>
      <c r="K114" s="168">
        <f t="shared" si="18"/>
        <v>2.4973988355167396E-3</v>
      </c>
    </row>
    <row r="115" spans="2:11" x14ac:dyDescent="0.2">
      <c r="B115" s="334" t="s">
        <v>250</v>
      </c>
      <c r="C115" s="334"/>
      <c r="D115" s="334"/>
      <c r="E115" s="334"/>
      <c r="F115" s="334"/>
      <c r="G115" s="334"/>
      <c r="H115" s="334"/>
      <c r="I115" s="334"/>
      <c r="J115" s="334"/>
      <c r="K115" s="334"/>
    </row>
    <row r="116" spans="2:11" x14ac:dyDescent="0.2">
      <c r="B116" s="347">
        <v>36</v>
      </c>
      <c r="C116" s="348" t="s">
        <v>116</v>
      </c>
      <c r="D116" s="348"/>
      <c r="E116" s="348"/>
      <c r="F116" s="348"/>
      <c r="G116" s="348"/>
      <c r="H116" s="348"/>
      <c r="I116" s="348"/>
      <c r="J116" s="348"/>
      <c r="K116" s="348"/>
    </row>
    <row r="117" spans="2:11" ht="14.25" customHeight="1" x14ac:dyDescent="0.2">
      <c r="B117" s="347"/>
      <c r="C117" s="345">
        <v>1</v>
      </c>
      <c r="D117" s="22">
        <v>23601001</v>
      </c>
      <c r="E117" s="77" t="s">
        <v>52</v>
      </c>
      <c r="F117" s="8">
        <f>IF(' جهات'!G392&gt;0,' جهات'!G392,"")</f>
        <v>200000</v>
      </c>
      <c r="G117" s="8">
        <f>IF(' جهات'!H392&gt;0,' جهات'!H392,"")</f>
        <v>200000</v>
      </c>
      <c r="H117" s="177">
        <f>IF(' جهات'!I392&gt;0,' جهات'!I392,"")</f>
        <v>91329.254000000001</v>
      </c>
      <c r="I117" s="8" t="str">
        <f>IF(' جهات'!J392&gt;0,' جهات'!J392,"")</f>
        <v/>
      </c>
      <c r="J117" s="167">
        <f t="shared" si="17"/>
        <v>0.45664627000000002</v>
      </c>
      <c r="K117" s="168">
        <f t="shared" si="18"/>
        <v>2.5565237375433881E-3</v>
      </c>
    </row>
    <row r="118" spans="2:11" ht="14.25" customHeight="1" x14ac:dyDescent="0.2">
      <c r="B118" s="347"/>
      <c r="C118" s="345"/>
      <c r="D118" s="22">
        <v>23601002</v>
      </c>
      <c r="E118" s="77" t="s">
        <v>53</v>
      </c>
      <c r="F118" s="8">
        <f>IF(' جهات'!G393&gt;0,' جهات'!G393,"")</f>
        <v>150000</v>
      </c>
      <c r="G118" s="8">
        <f>IF(' جهات'!H393&gt;0,' جهات'!H393,"")</f>
        <v>340000</v>
      </c>
      <c r="H118" s="177">
        <f>IF(' جهات'!I393&gt;0,' جهات'!I393,"")</f>
        <v>194327.427</v>
      </c>
      <c r="I118" s="8" t="str">
        <f>IF(' جهات'!J393&gt;0,' جهات'!J393,"")</f>
        <v/>
      </c>
      <c r="J118" s="167">
        <f t="shared" si="17"/>
        <v>0.57155125588235289</v>
      </c>
      <c r="K118" s="168">
        <f t="shared" si="18"/>
        <v>5.4396883607658719E-3</v>
      </c>
    </row>
    <row r="119" spans="2:11" ht="14.25" customHeight="1" x14ac:dyDescent="0.2">
      <c r="B119" s="347"/>
      <c r="C119" s="345"/>
      <c r="D119" s="22">
        <v>23601003</v>
      </c>
      <c r="E119" s="77" t="s">
        <v>54</v>
      </c>
      <c r="F119" s="8">
        <f>IF(' جهات'!G394&gt;0,' جهات'!G394,"")</f>
        <v>500000</v>
      </c>
      <c r="G119" s="8">
        <f>IF(' جهات'!H394&gt;0,' جهات'!H394,"")</f>
        <v>500000</v>
      </c>
      <c r="H119" s="177" t="str">
        <f>IF(' جهات'!I394&gt;0,' جهات'!I394,"")</f>
        <v/>
      </c>
      <c r="I119" s="8">
        <f>IF(' جهات'!J394&gt;0,' جهات'!J394,"")</f>
        <v>499999.62</v>
      </c>
      <c r="J119" s="167" t="str">
        <f t="shared" si="17"/>
        <v/>
      </c>
      <c r="K119" s="168" t="str">
        <f t="shared" si="18"/>
        <v/>
      </c>
    </row>
    <row r="120" spans="2:11" ht="14.25" customHeight="1" x14ac:dyDescent="0.2">
      <c r="B120" s="347"/>
      <c r="C120" s="345"/>
      <c r="D120" s="22">
        <v>23601004</v>
      </c>
      <c r="E120" s="77" t="s">
        <v>55</v>
      </c>
      <c r="F120" s="8">
        <f>IF(' جهات'!G395&gt;0,' جهات'!G395,"")</f>
        <v>15000</v>
      </c>
      <c r="G120" s="8">
        <f>IF(' جهات'!H395&gt;0,' جهات'!H395,"")</f>
        <v>15000</v>
      </c>
      <c r="H120" s="177">
        <f>IF(' جهات'!I395&gt;0,' جهات'!I395,"")</f>
        <v>146.56</v>
      </c>
      <c r="I120" s="8">
        <f>IF(' جهات'!J395&gt;0,' جهات'!J395,"")</f>
        <v>7000</v>
      </c>
      <c r="J120" s="167">
        <f t="shared" si="17"/>
        <v>9.7706666666666671E-3</v>
      </c>
      <c r="K120" s="168">
        <f t="shared" si="18"/>
        <v>4.1025641025641027E-6</v>
      </c>
    </row>
    <row r="121" spans="2:11" ht="14.25" customHeight="1" x14ac:dyDescent="0.2">
      <c r="B121" s="347"/>
      <c r="C121" s="345"/>
      <c r="D121" s="22">
        <v>23601005</v>
      </c>
      <c r="E121" s="77" t="s">
        <v>56</v>
      </c>
      <c r="F121" s="8">
        <f>IF(' جهات'!G396&gt;0,' جهات'!G396,"")</f>
        <v>5000</v>
      </c>
      <c r="G121" s="8">
        <f>IF(' جهات'!H396&gt;0,' جهات'!H396,"")</f>
        <v>5000</v>
      </c>
      <c r="H121" s="177" t="str">
        <f>IF(' جهات'!I396&gt;0,' جهات'!I396,"")</f>
        <v/>
      </c>
      <c r="I121" s="8" t="str">
        <f>IF(' جهات'!J396&gt;0,' جهات'!J396,"")</f>
        <v/>
      </c>
      <c r="J121" s="167" t="str">
        <f t="shared" si="17"/>
        <v/>
      </c>
      <c r="K121" s="168" t="str">
        <f t="shared" si="18"/>
        <v/>
      </c>
    </row>
    <row r="122" spans="2:11" ht="14.25" customHeight="1" x14ac:dyDescent="0.2">
      <c r="B122" s="347"/>
      <c r="C122" s="345"/>
      <c r="D122" s="22">
        <v>23601006</v>
      </c>
      <c r="E122" s="77" t="s">
        <v>57</v>
      </c>
      <c r="F122" s="8">
        <f>IF(' جهات'!G397&gt;0,' جهات'!G397,"")</f>
        <v>10000</v>
      </c>
      <c r="G122" s="8">
        <f>IF(' جهات'!H397&gt;0,' جهات'!H397,"")</f>
        <v>10000</v>
      </c>
      <c r="H122" s="177">
        <f>IF(' جهات'!I397&gt;0,' جهات'!I397,"")</f>
        <v>781.3</v>
      </c>
      <c r="I122" s="8" t="str">
        <f>IF(' جهات'!J397&gt;0,' جهات'!J397,"")</f>
        <v/>
      </c>
      <c r="J122" s="167">
        <f t="shared" si="17"/>
        <v>7.8129999999999991E-2</v>
      </c>
      <c r="K122" s="168">
        <f t="shared" si="18"/>
        <v>2.1870451237263462E-5</v>
      </c>
    </row>
    <row r="123" spans="2:11" ht="14.25" customHeight="1" x14ac:dyDescent="0.2">
      <c r="B123" s="347"/>
      <c r="C123" s="345"/>
      <c r="D123" s="22">
        <v>23601007</v>
      </c>
      <c r="E123" s="77" t="s">
        <v>58</v>
      </c>
      <c r="F123" s="8">
        <f>IF(' جهات'!G398&gt;0,' جهات'!G398,"")</f>
        <v>20000</v>
      </c>
      <c r="G123" s="8">
        <f>IF(' جهات'!H398&gt;0,' جهات'!H398,"")</f>
        <v>20000</v>
      </c>
      <c r="H123" s="177">
        <f>IF(' جهات'!I398&gt;0,' جهات'!I398,"")</f>
        <v>16994.312000000002</v>
      </c>
      <c r="I123" s="8" t="str">
        <f>IF(' جهات'!J398&gt;0,' جهات'!J398,"")</f>
        <v/>
      </c>
      <c r="J123" s="167">
        <f t="shared" si="17"/>
        <v>0.84971560000000013</v>
      </c>
      <c r="K123" s="168">
        <f t="shared" si="18"/>
        <v>4.7571134251483602E-4</v>
      </c>
    </row>
    <row r="124" spans="2:11" x14ac:dyDescent="0.2">
      <c r="B124" s="347"/>
      <c r="C124" s="346" t="s">
        <v>21</v>
      </c>
      <c r="D124" s="346"/>
      <c r="E124" s="346"/>
      <c r="F124" s="60">
        <f>SUM(F117:F123)</f>
        <v>900000</v>
      </c>
      <c r="G124" s="60">
        <f t="shared" ref="G124:I124" si="29">SUM(G117:G123)</f>
        <v>1090000</v>
      </c>
      <c r="H124" s="60">
        <f>SUM(H117:H123)</f>
        <v>303578.85299999994</v>
      </c>
      <c r="I124" s="60">
        <f t="shared" si="29"/>
        <v>506999.62</v>
      </c>
      <c r="J124" s="167">
        <f t="shared" si="17"/>
        <v>0.27851270917431187</v>
      </c>
      <c r="K124" s="168">
        <f t="shared" si="18"/>
        <v>8.4978964561639222E-3</v>
      </c>
    </row>
    <row r="125" spans="2:11" x14ac:dyDescent="0.2">
      <c r="B125" s="347"/>
      <c r="C125" s="348" t="s">
        <v>117</v>
      </c>
      <c r="D125" s="348"/>
      <c r="E125" s="348"/>
      <c r="F125" s="348"/>
      <c r="G125" s="348"/>
      <c r="H125" s="348"/>
      <c r="I125" s="348"/>
      <c r="J125" s="348"/>
      <c r="K125" s="348"/>
    </row>
    <row r="126" spans="2:11" ht="14.25" customHeight="1" x14ac:dyDescent="0.2">
      <c r="B126" s="347"/>
      <c r="C126" s="345">
        <v>2</v>
      </c>
      <c r="D126" s="22">
        <v>23602001</v>
      </c>
      <c r="E126" s="77" t="s">
        <v>59</v>
      </c>
      <c r="F126" s="8">
        <f>IF(' جهات'!G399&gt;0,' جهات'!G399,"")</f>
        <v>50000</v>
      </c>
      <c r="G126" s="8">
        <f>IF(' جهات'!H399&gt;0,' جهات'!H399,"")</f>
        <v>10000</v>
      </c>
      <c r="H126" s="177" t="str">
        <f>IF(' جهات'!I399&gt;0,' جهات'!I399,"")</f>
        <v/>
      </c>
      <c r="I126" s="8" t="str">
        <f>IF(' جهات'!J399&gt;0,' جهات'!J399,"")</f>
        <v/>
      </c>
      <c r="J126" s="167" t="str">
        <f t="shared" si="17"/>
        <v/>
      </c>
      <c r="K126" s="168" t="str">
        <f t="shared" si="18"/>
        <v/>
      </c>
    </row>
    <row r="127" spans="2:11" ht="14.25" customHeight="1" x14ac:dyDescent="0.2">
      <c r="B127" s="347"/>
      <c r="C127" s="345"/>
      <c r="D127" s="22">
        <v>23602002</v>
      </c>
      <c r="E127" s="77" t="s">
        <v>60</v>
      </c>
      <c r="F127" s="8">
        <f>IF(' جهات'!G400&gt;0,' جهات'!G400,"")</f>
        <v>1000</v>
      </c>
      <c r="G127" s="8">
        <f>IF(' جهات'!H400&gt;0,' جهات'!H400,"")</f>
        <v>1000</v>
      </c>
      <c r="H127" s="177" t="str">
        <f>IF(' جهات'!I400&gt;0,' جهات'!I400,"")</f>
        <v/>
      </c>
      <c r="I127" s="8" t="str">
        <f>IF(' جهات'!J400&gt;0,' جهات'!J400,"")</f>
        <v/>
      </c>
      <c r="J127" s="167" t="str">
        <f t="shared" si="17"/>
        <v/>
      </c>
      <c r="K127" s="168" t="str">
        <f t="shared" si="18"/>
        <v/>
      </c>
    </row>
    <row r="128" spans="2:11" ht="14.25" customHeight="1" x14ac:dyDescent="0.2">
      <c r="B128" s="347"/>
      <c r="C128" s="345"/>
      <c r="D128" s="22">
        <v>23602003</v>
      </c>
      <c r="E128" s="77" t="s">
        <v>61</v>
      </c>
      <c r="F128" s="8">
        <f>IF(' جهات'!G401&gt;0,' جهات'!G401,"")</f>
        <v>5000</v>
      </c>
      <c r="G128" s="8">
        <f>IF(' جهات'!H401&gt;0,' جهات'!H401,"")</f>
        <v>5000</v>
      </c>
      <c r="H128" s="177">
        <f>IF(' جهات'!I401&gt;0,' جهات'!I401,"")</f>
        <v>578</v>
      </c>
      <c r="I128" s="8" t="str">
        <f>IF(' جهات'!J401&gt;0,' جهات'!J401,"")</f>
        <v/>
      </c>
      <c r="J128" s="167">
        <f t="shared" si="17"/>
        <v>0.11559999999999999</v>
      </c>
      <c r="K128" s="168">
        <f t="shared" si="18"/>
        <v>1.6179599149031463E-5</v>
      </c>
    </row>
    <row r="129" spans="2:11" x14ac:dyDescent="0.2">
      <c r="B129" s="347"/>
      <c r="C129" s="346" t="s">
        <v>21</v>
      </c>
      <c r="D129" s="346"/>
      <c r="E129" s="346"/>
      <c r="F129" s="60">
        <f>SUM(F126:F128)</f>
        <v>56000</v>
      </c>
      <c r="G129" s="60">
        <f>SUM(G126:G128)</f>
        <v>16000</v>
      </c>
      <c r="H129" s="60">
        <f>SUM(H126:H128)</f>
        <v>578</v>
      </c>
      <c r="I129" s="60">
        <f t="shared" ref="I129" si="30">SUM(I126:I128)</f>
        <v>0</v>
      </c>
      <c r="J129" s="167">
        <f t="shared" si="17"/>
        <v>3.6124999999999997E-2</v>
      </c>
      <c r="K129" s="168">
        <f t="shared" si="18"/>
        <v>1.6179599149031463E-5</v>
      </c>
    </row>
    <row r="130" spans="2:11" x14ac:dyDescent="0.2">
      <c r="B130" s="347"/>
      <c r="C130" s="348" t="s">
        <v>118</v>
      </c>
      <c r="D130" s="348"/>
      <c r="E130" s="348"/>
      <c r="F130" s="348"/>
      <c r="G130" s="348"/>
      <c r="H130" s="348"/>
      <c r="I130" s="348"/>
      <c r="J130" s="348"/>
      <c r="K130" s="348"/>
    </row>
    <row r="131" spans="2:11" ht="14.25" customHeight="1" x14ac:dyDescent="0.2">
      <c r="B131" s="347"/>
      <c r="C131" s="345">
        <v>3</v>
      </c>
      <c r="D131" s="22">
        <v>23603001</v>
      </c>
      <c r="E131" s="77" t="s">
        <v>62</v>
      </c>
      <c r="F131" s="8">
        <f>IF(' جهات'!G6&gt;0,' جهات'!G6,"")</f>
        <v>12000</v>
      </c>
      <c r="G131" s="8">
        <f>IF(' جهات'!H6&gt;0,' جهات'!H6,"")</f>
        <v>12000</v>
      </c>
      <c r="H131" s="177">
        <f>IF(' جهات'!I6&gt;0,' جهات'!I6,"")</f>
        <v>2140.3789999999999</v>
      </c>
      <c r="I131" s="8" t="str">
        <f>IF(' جهات'!J6&gt;0,' جهات'!J6,"")</f>
        <v/>
      </c>
      <c r="J131" s="167">
        <f t="shared" si="17"/>
        <v>0.17836491666666665</v>
      </c>
      <c r="K131" s="168">
        <f t="shared" si="18"/>
        <v>5.9914315306236703E-5</v>
      </c>
    </row>
    <row r="132" spans="2:11" ht="14.25" customHeight="1" x14ac:dyDescent="0.2">
      <c r="B132" s="347"/>
      <c r="C132" s="345"/>
      <c r="D132" s="22">
        <v>23603002</v>
      </c>
      <c r="E132" s="77" t="s">
        <v>63</v>
      </c>
      <c r="F132" s="8">
        <f>IF(' جهات'!G12+' جهات'!G24+' جهات'!G28+' جهات'!G34+' جهات'!G38+' جهات'!G46+' جهات'!G51+' جهات'!G56+' جهات'!G64+' جهات'!G73+' جهات'!G83+' جهات'!G90+' جهات'!G99+' جهات'!G121+' جهات'!G130+' جهات'!G105+' جهات'!G134+' جهات'!G139+' جهات'!G115+' جهات'!G146+' جهات'!G153+' جهات'!G180+' جهات'!G191+' جهات'!G206+' جهات'!G217+' جهات'!G220+' جهات'!G224+' جهات'!G227+' جهات'!G231+' جهات'!G239+' جهات'!G243+' جهات'!G247+' جهات'!G251+' جهات'!G265+' جهات'!G275+' جهات'!G279+' جهات'!G295+' جهات'!G316+' جهات'!G213+' جهات'!G330+' جهات'!G334+' جهات'!G338+' جهات'!G343+' جهات'!G348+' جهات'!G357&gt;0,' جهات'!G12+' جهات'!G24+' جهات'!G28+' جهات'!G34+' جهات'!G38+' جهات'!G46+' جهات'!G51+' جهات'!G56+' جهات'!G64+' جهات'!G73+' جهات'!G83+' جهات'!G90+' جهات'!G99+' جهات'!G121+' جهات'!G130+' جهات'!G105+' جهات'!G134+' جهات'!G139+' جهات'!G115+' جهات'!G146+' جهات'!G153+' جهات'!G180+' جهات'!G191+' جهات'!G206+' جهات'!G217+' جهات'!G220+' جهات'!G224+' جهات'!G227+' جهات'!G231+' جهات'!G239+' جهات'!G243+' جهات'!G247+' جهات'!G251+' جهات'!G265+' جهات'!G275+' جهات'!G279+' جهات'!G295+' جهات'!G316+' جهات'!G213+' جهات'!G330+' جهات'!G334+' جهات'!G338+' جهات'!G343+' جهات'!G348+' جهات'!G357,"")</f>
        <v>4725</v>
      </c>
      <c r="G132" s="8">
        <f>IF(' جهات'!H12+' جهات'!H24+' جهات'!H28+' جهات'!H34+' جهات'!H38+' جهات'!H46+' جهات'!H51+' جهات'!H56+' جهات'!H64+' جهات'!H73+' جهات'!H83+' جهات'!H90+' جهات'!H99+' جهات'!H121+' جهات'!H130+' جهات'!H105+' جهات'!H134+' جهات'!H139+' جهات'!H115+' جهات'!H146+' جهات'!H153+' جهات'!H180+' جهات'!H191+' جهات'!H206+' جهات'!H217+' جهات'!H220+' جهات'!H224+' جهات'!H227+' جهات'!H231+' جهات'!H239+' جهات'!H243+' جهات'!H247+' جهات'!H251+' جهات'!H265+' جهات'!H275+' جهات'!H279+' جهات'!H295+' جهات'!H316+' جهات'!H213+' جهات'!H330+' جهات'!H334+' جهات'!H338+' جهات'!H343+' جهات'!H348+' جهات'!H357&gt;0,' جهات'!H12+' جهات'!H24+' جهات'!H28+' جهات'!H34+' جهات'!H38+' جهات'!H46+' جهات'!H51+' جهات'!H56+' جهات'!H64+' جهات'!H73+' جهات'!H83+' جهات'!H90+' جهات'!H99+' جهات'!H121+' جهات'!H130+' جهات'!H105+' جهات'!H134+' جهات'!H139+' جهات'!H115+' جهات'!H146+' جهات'!H153+' جهات'!H180+' جهات'!H191+' جهات'!H206+' جهات'!H217+' جهات'!H220+' جهات'!H224+' جهات'!H227+' جهات'!H231+' جهات'!H239+' جهات'!H243+' جهات'!H247+' جهات'!H251+' جهات'!H265+' جهات'!H275+' جهات'!H279+' جهات'!H295+' جهات'!H316+' جهات'!H213+' جهات'!H330+' جهات'!H334+' جهات'!H338+' جهات'!H343+' جهات'!H348+' جهات'!H357,"")</f>
        <v>4725</v>
      </c>
      <c r="H132" s="177">
        <f>IF(' جهات'!I12+' جهات'!I24+' جهات'!I28+' جهات'!I34+' جهات'!I38+' جهات'!I46+' جهات'!I51+' جهات'!I56+' جهات'!I64+' جهات'!I73+' جهات'!I83+' جهات'!I90+' جهات'!I99+' جهات'!I121+' جهات'!I130+' جهات'!I105+' جهات'!I134+' جهات'!I139+' جهات'!I115+' جهات'!I146+' جهات'!I153+' جهات'!I180+' جهات'!I191+' جهات'!I206+' جهات'!I217+' جهات'!I220+' جهات'!I224+' جهات'!I227+' جهات'!I231+' جهات'!I239+' جهات'!I243+' جهات'!I247+' جهات'!I251+' جهات'!I265+' جهات'!I275+' جهات'!I279+' جهات'!I295+' جهات'!I316+' جهات'!I213+' جهات'!I330+' جهات'!I334+' جهات'!I338+' جهات'!I343+' جهات'!I348+' جهات'!I357&gt;0,' جهات'!I12+' جهات'!I24+' جهات'!I28+' جهات'!I34+' جهات'!I38+' جهات'!I46+' جهات'!I51+' جهات'!I56+' جهات'!I64+' جهات'!I73+' جهات'!I83+' جهات'!I90+' جهات'!I99+' جهات'!I121+' جهات'!I130+' جهات'!I105+' جهات'!I134+' جهات'!I139+' جهات'!I115+' جهات'!I146+' جهات'!I153+' جهات'!I180+' جهات'!I191+' جهات'!I206+' جهات'!I217+' جهات'!I220+' جهات'!I224+' جهات'!I227+' جهات'!I231+' جهات'!I239+' جهات'!I243+' جهات'!I247+' جهات'!I251+' جهات'!I265+' جهات'!I275+' جهات'!I279+' جهات'!I295+' جهات'!I316+' جهات'!I213+' جهات'!I330+' جهات'!I334+' جهات'!I338+' جهات'!I343+' جهات'!I348+' جهات'!I357,"")</f>
        <v>2331.3200000000002</v>
      </c>
      <c r="I132" s="8" t="str">
        <f>IF(' جهات'!J12+' جهات'!J24+' جهات'!J28+' جهات'!J34+' جهات'!J38+' جهات'!J46+' جهات'!J51+' جهات'!J56+' جهات'!J64+' جهات'!J73+' جهات'!J83+' جهات'!J90+' جهات'!J99+' جهات'!J121+' جهات'!J130+' جهات'!J105+' جهات'!J134+' جهات'!J139+' جهات'!J115+' جهات'!J146+' جهات'!J153+' جهات'!J180+' جهات'!J191+' جهات'!J206+' جهات'!J217+' جهات'!J220+' جهات'!J224+' جهات'!J227+' جهات'!J231+' جهات'!J239+' جهات'!J243+' جهات'!J247+' جهات'!J251+' جهات'!J265+' جهات'!J275+' جهات'!J279+' جهات'!J295+' جهات'!J316+' جهات'!J213+' جهات'!J330+' جهات'!J334+' جهات'!J338+' جهات'!J343+' جهات'!J348+' جهات'!J357&gt;0,' جهات'!J12+' جهات'!J24+' جهات'!J28+' جهات'!J34+' جهات'!J38+' جهات'!J46+' جهات'!J51+' جهات'!J56+' جهات'!J64+' جهات'!J73+' جهات'!J83+' جهات'!J90+' جهات'!J99+' جهات'!J121+' جهات'!J130+' جهات'!J105+' جهات'!J134+' جهات'!J139+' جهات'!J115+' جهات'!J146+' جهات'!J153+' جهات'!J180+' جهات'!J191+' جهات'!J206+' جهات'!J217+' جهات'!J220+' جهات'!J224+' جهات'!J227+' جهات'!J231+' جهات'!J239+' جهات'!J243+' جهات'!J247+' جهات'!J251+' جهات'!J265+' جهات'!J275+' جهات'!J279+' جهات'!J295+' جهات'!J316+' جهات'!J213+' جهات'!J330+' جهات'!J334+' جهات'!J338+' جهات'!J343+' جهات'!J348+' جهات'!J357,"")</f>
        <v/>
      </c>
      <c r="J132" s="167">
        <f t="shared" si="17"/>
        <v>0.49340105820105823</v>
      </c>
      <c r="K132" s="168">
        <f t="shared" si="18"/>
        <v>6.5259209495017355E-5</v>
      </c>
    </row>
    <row r="133" spans="2:11" ht="14.25" customHeight="1" x14ac:dyDescent="0.2">
      <c r="B133" s="347"/>
      <c r="C133" s="345"/>
      <c r="D133" s="22">
        <v>23603004</v>
      </c>
      <c r="E133" s="77" t="s">
        <v>64</v>
      </c>
      <c r="F133" s="8">
        <f>IF(' جهات'!G7&gt;0,' جهات'!G7,"")</f>
        <v>3000</v>
      </c>
      <c r="G133" s="8">
        <f>IF(' جهات'!H7&gt;0,' جهات'!H7,"")</f>
        <v>3000</v>
      </c>
      <c r="H133" s="177">
        <f>IF(' جهات'!I7&gt;0,' جهات'!I7,"")</f>
        <v>1043.3900000000001</v>
      </c>
      <c r="I133" s="8" t="str">
        <f>IF(' جهات'!J7&gt;0,' جهات'!J7,"")</f>
        <v/>
      </c>
      <c r="J133" s="167">
        <f t="shared" si="17"/>
        <v>0.3477966666666667</v>
      </c>
      <c r="K133" s="168">
        <f t="shared" si="18"/>
        <v>2.9206975702608892E-5</v>
      </c>
    </row>
    <row r="134" spans="2:11" x14ac:dyDescent="0.2">
      <c r="B134" s="347"/>
      <c r="C134" s="346" t="s">
        <v>21</v>
      </c>
      <c r="D134" s="346"/>
      <c r="E134" s="346"/>
      <c r="F134" s="60">
        <f>SUM(F131:F133)</f>
        <v>19725</v>
      </c>
      <c r="G134" s="60">
        <f>SUM(G131:G133)</f>
        <v>19725</v>
      </c>
      <c r="H134" s="60">
        <f>SUM(H131:H133)</f>
        <v>5515.0890000000009</v>
      </c>
      <c r="I134" s="60">
        <f t="shared" ref="I134" si="31">SUM(I131:I133)</f>
        <v>0</v>
      </c>
      <c r="J134" s="167">
        <f t="shared" si="17"/>
        <v>0.27959893536121677</v>
      </c>
      <c r="K134" s="168">
        <f t="shared" si="18"/>
        <v>1.5438050050386296E-4</v>
      </c>
    </row>
    <row r="135" spans="2:11" x14ac:dyDescent="0.2">
      <c r="B135" s="347"/>
      <c r="C135" s="348" t="s">
        <v>119</v>
      </c>
      <c r="D135" s="348"/>
      <c r="E135" s="348"/>
      <c r="F135" s="348"/>
      <c r="G135" s="348"/>
      <c r="H135" s="348"/>
      <c r="I135" s="348"/>
      <c r="J135" s="348"/>
      <c r="K135" s="348"/>
    </row>
    <row r="136" spans="2:11" ht="14.25" customHeight="1" x14ac:dyDescent="0.2">
      <c r="B136" s="347"/>
      <c r="C136" s="345">
        <v>4</v>
      </c>
      <c r="D136" s="22">
        <v>23604001</v>
      </c>
      <c r="E136" s="77" t="s">
        <v>302</v>
      </c>
      <c r="F136" s="8">
        <f>IF(' جهات'!G296&gt;0,' جهات'!G296,"")</f>
        <v>70000</v>
      </c>
      <c r="G136" s="8">
        <f>IF(' جهات'!H296&gt;0,' جهات'!H296,"")</f>
        <v>20000</v>
      </c>
      <c r="H136" s="177" t="str">
        <f>IF(' جهات'!I296&gt;0,' جهات'!I296,"")</f>
        <v/>
      </c>
      <c r="I136" s="8" t="str">
        <f>IF(' جهات'!J296&gt;0,' جهات'!J296,"")</f>
        <v/>
      </c>
      <c r="J136" s="167" t="str">
        <f t="shared" ref="J136:J197" si="32">IFERROR(H136/G136,"")</f>
        <v/>
      </c>
      <c r="K136" s="168" t="str">
        <f t="shared" ref="K136:K197" si="33">IFERROR(H136/$G$351,"")</f>
        <v/>
      </c>
    </row>
    <row r="137" spans="2:11" ht="14.25" customHeight="1" x14ac:dyDescent="0.2">
      <c r="B137" s="347"/>
      <c r="C137" s="345"/>
      <c r="D137" s="22">
        <v>23604003</v>
      </c>
      <c r="E137" s="77" t="s">
        <v>459</v>
      </c>
      <c r="F137" s="8">
        <f>IF(' جهات'!G297&gt;0,' جهات'!G297,"")</f>
        <v>50000</v>
      </c>
      <c r="G137" s="8">
        <f>IF(' جهات'!H297&gt;0,' جهات'!H297,"")</f>
        <v>10000</v>
      </c>
      <c r="H137" s="177">
        <f>IF(' جهات'!I297&gt;0,' جهات'!I297,"")</f>
        <v>2310</v>
      </c>
      <c r="I137" s="8" t="str">
        <f>IF(' جهات'!J297&gt;0,' جهات'!J297,"")</f>
        <v/>
      </c>
      <c r="J137" s="167">
        <f t="shared" si="32"/>
        <v>0.23100000000000001</v>
      </c>
      <c r="K137" s="168">
        <f t="shared" si="33"/>
        <v>6.4662411823983876E-5</v>
      </c>
    </row>
    <row r="138" spans="2:11" ht="14.25" customHeight="1" x14ac:dyDescent="0.2">
      <c r="B138" s="347"/>
      <c r="C138" s="345"/>
      <c r="D138" s="13">
        <v>23604004</v>
      </c>
      <c r="E138" s="39" t="s">
        <v>425</v>
      </c>
      <c r="F138" s="8">
        <f>IF(' جهات'!G317&gt;0,' جهات'!G317,"")</f>
        <v>2000</v>
      </c>
      <c r="G138" s="8">
        <f>IF(' جهات'!H317&gt;0,' جهات'!H317,"")</f>
        <v>2000</v>
      </c>
      <c r="H138" s="177">
        <f>IF(' جهات'!I317&gt;0,' جهات'!I317,"")</f>
        <v>1081.5</v>
      </c>
      <c r="I138" s="8" t="str">
        <f>IF(' جهات'!J317&gt;0,' جهات'!J317,"")</f>
        <v/>
      </c>
      <c r="J138" s="167">
        <f t="shared" si="32"/>
        <v>0.54074999999999995</v>
      </c>
      <c r="K138" s="168">
        <f t="shared" si="33"/>
        <v>3.0273765535774271E-5</v>
      </c>
    </row>
    <row r="139" spans="2:11" x14ac:dyDescent="0.2">
      <c r="B139" s="347"/>
      <c r="C139" s="346" t="s">
        <v>21</v>
      </c>
      <c r="D139" s="346"/>
      <c r="E139" s="346"/>
      <c r="F139" s="60">
        <f>SUM(F136:F138)</f>
        <v>122000</v>
      </c>
      <c r="G139" s="60">
        <f>SUM(G136:G138)</f>
        <v>32000</v>
      </c>
      <c r="H139" s="60">
        <f>SUM(H136:H138)</f>
        <v>3391.5</v>
      </c>
      <c r="I139" s="60">
        <f t="shared" ref="I139" si="34">SUM(I136:I138)</f>
        <v>0</v>
      </c>
      <c r="J139" s="167">
        <f t="shared" si="32"/>
        <v>0.10598437500000001</v>
      </c>
      <c r="K139" s="168">
        <f t="shared" si="33"/>
        <v>9.4936177359758147E-5</v>
      </c>
    </row>
    <row r="140" spans="2:11" x14ac:dyDescent="0.2">
      <c r="B140" s="347"/>
      <c r="C140" s="348" t="s">
        <v>121</v>
      </c>
      <c r="D140" s="348"/>
      <c r="E140" s="348"/>
      <c r="F140" s="348"/>
      <c r="G140" s="348"/>
      <c r="H140" s="348"/>
      <c r="I140" s="348"/>
      <c r="J140" s="348"/>
      <c r="K140" s="348"/>
    </row>
    <row r="141" spans="2:11" ht="14.25" customHeight="1" x14ac:dyDescent="0.2">
      <c r="B141" s="347"/>
      <c r="C141" s="345">
        <v>5</v>
      </c>
      <c r="D141" s="22">
        <v>23605001</v>
      </c>
      <c r="E141" s="77" t="s">
        <v>65</v>
      </c>
      <c r="F141" s="8">
        <f>IF(' جهات'!G13&gt;0,' جهات'!G13,"")</f>
        <v>10000</v>
      </c>
      <c r="G141" s="8">
        <f>IF(' جهات'!H13&gt;0,' جهات'!H13,"")</f>
        <v>10000</v>
      </c>
      <c r="H141" s="177">
        <f>IF(' جهات'!I13&gt;0,' جهات'!I13,"")</f>
        <v>9121.1239999999998</v>
      </c>
      <c r="I141" s="8" t="str">
        <f>IF(' جهات'!J13&gt;0,' جهات'!J13,"")</f>
        <v/>
      </c>
      <c r="J141" s="167">
        <f t="shared" si="32"/>
        <v>0.91211239999999993</v>
      </c>
      <c r="K141" s="168">
        <f t="shared" si="33"/>
        <v>2.5532202440936065E-4</v>
      </c>
    </row>
    <row r="142" spans="2:11" ht="14.25" customHeight="1" x14ac:dyDescent="0.2">
      <c r="B142" s="347"/>
      <c r="C142" s="345"/>
      <c r="D142" s="22">
        <v>23605002</v>
      </c>
      <c r="E142" s="77" t="s">
        <v>452</v>
      </c>
      <c r="F142" s="8">
        <f>IF(' جهات'!G14&gt;0,' جهات'!G14,"")</f>
        <v>1000</v>
      </c>
      <c r="G142" s="8">
        <f>IF(' جهات'!H14&gt;0,' جهات'!H14,"")</f>
        <v>1000</v>
      </c>
      <c r="H142" s="177">
        <f>IF(' جهات'!I14&gt;0,' جهات'!I14,"")</f>
        <v>999.93600000000004</v>
      </c>
      <c r="I142" s="8" t="str">
        <f>IF(' جهات'!J14&gt;0,' جهات'!J14,"")</f>
        <v/>
      </c>
      <c r="J142" s="167">
        <f t="shared" si="32"/>
        <v>0.99993600000000005</v>
      </c>
      <c r="K142" s="168">
        <f t="shared" si="33"/>
        <v>2.799059455828015E-5</v>
      </c>
    </row>
    <row r="143" spans="2:11" x14ac:dyDescent="0.2">
      <c r="B143" s="347"/>
      <c r="C143" s="346" t="s">
        <v>21</v>
      </c>
      <c r="D143" s="346"/>
      <c r="E143" s="346"/>
      <c r="F143" s="60">
        <f>SUM(F141:F142)</f>
        <v>11000</v>
      </c>
      <c r="G143" s="60">
        <f>SUM(G141:G142)</f>
        <v>11000</v>
      </c>
      <c r="H143" s="60">
        <f>SUM(H141:H142)</f>
        <v>10121.06</v>
      </c>
      <c r="I143" s="60">
        <f>SUM(I141:I142)</f>
        <v>0</v>
      </c>
      <c r="J143" s="167">
        <f t="shared" si="32"/>
        <v>0.9200963636363636</v>
      </c>
      <c r="K143" s="168">
        <f t="shared" si="33"/>
        <v>2.8331261896764079E-4</v>
      </c>
    </row>
    <row r="144" spans="2:11" x14ac:dyDescent="0.2">
      <c r="B144" s="347"/>
      <c r="C144" s="348" t="s">
        <v>120</v>
      </c>
      <c r="D144" s="348"/>
      <c r="E144" s="348"/>
      <c r="F144" s="348"/>
      <c r="G144" s="348"/>
      <c r="H144" s="348"/>
      <c r="I144" s="348"/>
      <c r="J144" s="348"/>
      <c r="K144" s="348"/>
    </row>
    <row r="145" spans="2:11" ht="14.25" customHeight="1" x14ac:dyDescent="0.2">
      <c r="B145" s="347"/>
      <c r="C145" s="345">
        <v>6</v>
      </c>
      <c r="D145" s="22">
        <v>23606001</v>
      </c>
      <c r="E145" s="77" t="s">
        <v>66</v>
      </c>
      <c r="F145" s="8">
        <f>IF(' جهات'!G192&gt;0,' جهات'!G192,"")</f>
        <v>60000</v>
      </c>
      <c r="G145" s="8">
        <f>IF(' جهات'!H192&gt;0,' جهات'!H192,"")</f>
        <v>60000</v>
      </c>
      <c r="H145" s="177">
        <f>IF(' جهات'!I192&gt;0,' جهات'!I192,"")</f>
        <v>29543.544000000002</v>
      </c>
      <c r="I145" s="8" t="str">
        <f>IF(' جهات'!J192&gt;0,' جهات'!J192,"")</f>
        <v/>
      </c>
      <c r="J145" s="167">
        <f t="shared" si="32"/>
        <v>0.49239240000000001</v>
      </c>
      <c r="K145" s="168">
        <f t="shared" si="33"/>
        <v>8.2699428955324158E-4</v>
      </c>
    </row>
    <row r="146" spans="2:11" ht="14.25" customHeight="1" x14ac:dyDescent="0.2">
      <c r="B146" s="347"/>
      <c r="C146" s="345"/>
      <c r="D146" s="22">
        <v>23606006</v>
      </c>
      <c r="E146" s="77" t="s">
        <v>67</v>
      </c>
      <c r="F146" s="8">
        <f>IF(' جهات'!G402&gt;0,' جهات'!G402,"")</f>
        <v>3000</v>
      </c>
      <c r="G146" s="8">
        <f>IF(' جهات'!H402&gt;0,' جهات'!H402,"")</f>
        <v>3000</v>
      </c>
      <c r="H146" s="177">
        <f>IF(' جهات'!I402&gt;0,' جهات'!I402,"")</f>
        <v>39.44</v>
      </c>
      <c r="I146" s="8" t="str">
        <f>IF(' جهات'!J402&gt;0,' جهات'!J402,"")</f>
        <v/>
      </c>
      <c r="J146" s="167">
        <f t="shared" si="32"/>
        <v>1.3146666666666666E-2</v>
      </c>
      <c r="K146" s="168">
        <f t="shared" si="33"/>
        <v>1.1040197066397939E-6</v>
      </c>
    </row>
    <row r="147" spans="2:11" ht="14.25" customHeight="1" x14ac:dyDescent="0.2">
      <c r="B147" s="347"/>
      <c r="C147" s="345"/>
      <c r="D147" s="22">
        <v>23606008</v>
      </c>
      <c r="E147" s="77" t="s">
        <v>68</v>
      </c>
      <c r="F147" s="8">
        <f>IF(' جهات'!G193&gt;0,' جهات'!G193,"")</f>
        <v>20000</v>
      </c>
      <c r="G147" s="8">
        <f>IF(' جهات'!H193&gt;0,' جهات'!H193,"")</f>
        <v>20000</v>
      </c>
      <c r="H147" s="177">
        <f>IF(' جهات'!I193&gt;0,' جهات'!I193,"")</f>
        <v>15000</v>
      </c>
      <c r="I147" s="8" t="str">
        <f>IF(' جهات'!J193&gt;0,' جهات'!J193,"")</f>
        <v/>
      </c>
      <c r="J147" s="167">
        <f t="shared" si="32"/>
        <v>0.75</v>
      </c>
      <c r="K147" s="168">
        <f t="shared" si="33"/>
        <v>4.1988579106483039E-4</v>
      </c>
    </row>
    <row r="148" spans="2:11" x14ac:dyDescent="0.2">
      <c r="B148" s="347"/>
      <c r="C148" s="346" t="s">
        <v>21</v>
      </c>
      <c r="D148" s="346"/>
      <c r="E148" s="346"/>
      <c r="F148" s="60">
        <f>SUM(F145:F147)</f>
        <v>83000</v>
      </c>
      <c r="G148" s="60">
        <f t="shared" ref="G148:I148" si="35">SUM(G145:G147)</f>
        <v>83000</v>
      </c>
      <c r="H148" s="60">
        <f>SUM(H145:H147)</f>
        <v>44582.983999999997</v>
      </c>
      <c r="I148" s="60">
        <f t="shared" si="35"/>
        <v>0</v>
      </c>
      <c r="J148" s="167">
        <f t="shared" si="32"/>
        <v>0.53714438554216859</v>
      </c>
      <c r="K148" s="168">
        <f t="shared" si="33"/>
        <v>1.2479841003247116E-3</v>
      </c>
    </row>
    <row r="149" spans="2:11" x14ac:dyDescent="0.2">
      <c r="B149" s="347"/>
      <c r="C149" s="348" t="s">
        <v>69</v>
      </c>
      <c r="D149" s="348"/>
      <c r="E149" s="348"/>
      <c r="F149" s="348"/>
      <c r="G149" s="348"/>
      <c r="H149" s="348"/>
      <c r="I149" s="348"/>
      <c r="J149" s="348"/>
      <c r="K149" s="348"/>
    </row>
    <row r="150" spans="2:11" ht="14.25" customHeight="1" x14ac:dyDescent="0.2">
      <c r="B150" s="347"/>
      <c r="C150" s="345">
        <v>15</v>
      </c>
      <c r="D150" s="22">
        <v>23615001</v>
      </c>
      <c r="E150" s="77" t="s">
        <v>69</v>
      </c>
      <c r="F150" s="8">
        <f>IF(' جهات'!G140+' جهات'!G403&gt;0,' جهات'!G140+' جهات'!G403,"")</f>
        <v>51000</v>
      </c>
      <c r="G150" s="8">
        <f>IF(' جهات'!H140+' جهات'!H403&gt;0,' جهات'!H140+' جهات'!H403,"")</f>
        <v>51000</v>
      </c>
      <c r="H150" s="177">
        <f>IF(' جهات'!I140+' جهات'!I403&gt;0,' جهات'!I140+' جهات'!I403,"")</f>
        <v>22373.050999999999</v>
      </c>
      <c r="I150" s="8">
        <f>IF(' جهات'!J140+' جهات'!J403&gt;0,' جهات'!J140+' جهات'!J403,"")</f>
        <v>7425</v>
      </c>
      <c r="J150" s="167">
        <f t="shared" si="32"/>
        <v>0.43868727450980394</v>
      </c>
      <c r="K150" s="168">
        <f t="shared" si="33"/>
        <v>6.2627508117791956E-4</v>
      </c>
    </row>
    <row r="151" spans="2:11" s="37" customFormat="1" ht="14.25" customHeight="1" x14ac:dyDescent="0.2">
      <c r="B151" s="347"/>
      <c r="C151" s="345"/>
      <c r="D151" s="22">
        <v>23615003</v>
      </c>
      <c r="E151" s="78" t="s">
        <v>475</v>
      </c>
      <c r="F151" s="8">
        <f>IF(' جهات'!G404&gt;0,' جهات'!G404,"")</f>
        <v>75000</v>
      </c>
      <c r="G151" s="8">
        <f>IF(' جهات'!H404&gt;0,' جهات'!H404,"")</f>
        <v>15000</v>
      </c>
      <c r="H151" s="177">
        <f>IF(' جهات'!I404&gt;0,' جهات'!I404,"")</f>
        <v>795.79899999999998</v>
      </c>
      <c r="I151" s="8" t="str">
        <f>IF(' جهات'!J404&gt;0,' جهات'!J404,"")</f>
        <v/>
      </c>
      <c r="J151" s="167">
        <f t="shared" si="32"/>
        <v>5.3053266666666668E-2</v>
      </c>
      <c r="K151" s="168">
        <f t="shared" si="33"/>
        <v>2.227631284290673E-5</v>
      </c>
    </row>
    <row r="152" spans="2:11" x14ac:dyDescent="0.2">
      <c r="B152" s="347"/>
      <c r="C152" s="346" t="s">
        <v>21</v>
      </c>
      <c r="D152" s="346"/>
      <c r="E152" s="346"/>
      <c r="F152" s="60">
        <f>SUM(F150:F151)</f>
        <v>126000</v>
      </c>
      <c r="G152" s="60">
        <f>SUM(G150:G151)</f>
        <v>66000</v>
      </c>
      <c r="H152" s="60">
        <f>SUM(H150:H151)</f>
        <v>23168.85</v>
      </c>
      <c r="I152" s="60">
        <f>SUM(I150:I151)</f>
        <v>7425</v>
      </c>
      <c r="J152" s="167">
        <f t="shared" si="32"/>
        <v>0.35104318181818178</v>
      </c>
      <c r="K152" s="168">
        <f t="shared" si="33"/>
        <v>6.4855139402082631E-4</v>
      </c>
    </row>
    <row r="153" spans="2:11" x14ac:dyDescent="0.2">
      <c r="B153" s="321" t="s">
        <v>122</v>
      </c>
      <c r="C153" s="321"/>
      <c r="D153" s="321"/>
      <c r="E153" s="321"/>
      <c r="F153" s="61">
        <f>F124+F129+F134+F139+F143+F148+F152</f>
        <v>1317725</v>
      </c>
      <c r="G153" s="61">
        <f>G124+G129+G134+G139+G143+G148+G152</f>
        <v>1317725</v>
      </c>
      <c r="H153" s="61">
        <f>H124+H129+H134+H139+H143+H148+H152</f>
        <v>390936.33599999989</v>
      </c>
      <c r="I153" s="61">
        <f>I124+I129+I134+I139+I143+I148+I152</f>
        <v>514424.62</v>
      </c>
      <c r="J153" s="167">
        <f t="shared" si="32"/>
        <v>0.29667520613178006</v>
      </c>
      <c r="K153" s="168">
        <f t="shared" si="33"/>
        <v>1.0943240846489751E-2</v>
      </c>
    </row>
    <row r="154" spans="2:11" x14ac:dyDescent="0.2">
      <c r="B154" s="334" t="s">
        <v>251</v>
      </c>
      <c r="C154" s="334"/>
      <c r="D154" s="334"/>
      <c r="E154" s="334"/>
      <c r="F154" s="334"/>
      <c r="G154" s="334"/>
      <c r="H154" s="334"/>
      <c r="I154" s="334"/>
      <c r="J154" s="334"/>
      <c r="K154" s="334"/>
    </row>
    <row r="155" spans="2:11" x14ac:dyDescent="0.2">
      <c r="B155" s="347">
        <v>46</v>
      </c>
      <c r="C155" s="348" t="s">
        <v>127</v>
      </c>
      <c r="D155" s="348"/>
      <c r="E155" s="348"/>
      <c r="F155" s="348"/>
      <c r="G155" s="348"/>
      <c r="H155" s="348"/>
      <c r="I155" s="348"/>
      <c r="J155" s="348"/>
      <c r="K155" s="348"/>
    </row>
    <row r="156" spans="2:11" ht="14.25" customHeight="1" x14ac:dyDescent="0.2">
      <c r="B156" s="347"/>
      <c r="C156" s="345">
        <v>1</v>
      </c>
      <c r="D156" s="22">
        <v>24601001</v>
      </c>
      <c r="E156" s="77" t="s">
        <v>70</v>
      </c>
      <c r="F156" s="8">
        <f>IF(' جهات'!G409&gt;0,' جهات'!G409,"")</f>
        <v>3550</v>
      </c>
      <c r="G156" s="8">
        <f>IF(' جهات'!H409&gt;0,' جهات'!H409,"")</f>
        <v>3550</v>
      </c>
      <c r="H156" s="177">
        <f>IF(' جهات'!I409&gt;0,' جهات'!I409,"")</f>
        <v>3540</v>
      </c>
      <c r="I156" s="8" t="str">
        <f>IF(' جهات'!J409&gt;0,' جهات'!J409,"")</f>
        <v/>
      </c>
      <c r="J156" s="167">
        <f t="shared" si="32"/>
        <v>0.9971830985915493</v>
      </c>
      <c r="K156" s="168">
        <f t="shared" si="33"/>
        <v>9.9093046691299964E-5</v>
      </c>
    </row>
    <row r="157" spans="2:11" ht="14.25" customHeight="1" x14ac:dyDescent="0.2">
      <c r="B157" s="347"/>
      <c r="C157" s="345"/>
      <c r="D157" s="22">
        <v>24601002</v>
      </c>
      <c r="E157" s="77" t="s">
        <v>71</v>
      </c>
      <c r="F157" s="8">
        <f>IF(' جهات'!G410&gt;0,' جهات'!G410,"")</f>
        <v>2150</v>
      </c>
      <c r="G157" s="8">
        <f>IF(' جهات'!H410&gt;0,' جهات'!H410,"")</f>
        <v>2150</v>
      </c>
      <c r="H157" s="177" t="str">
        <f>IF(' جهات'!I410&gt;0,' جهات'!I410,"")</f>
        <v/>
      </c>
      <c r="I157" s="8" t="str">
        <f>IF(' جهات'!J410&gt;0,' جهات'!J410,"")</f>
        <v/>
      </c>
      <c r="J157" s="167" t="str">
        <f t="shared" si="32"/>
        <v/>
      </c>
      <c r="K157" s="168" t="str">
        <f t="shared" si="33"/>
        <v/>
      </c>
    </row>
    <row r="158" spans="2:11" ht="14.25" customHeight="1" x14ac:dyDescent="0.2">
      <c r="B158" s="347"/>
      <c r="C158" s="345"/>
      <c r="D158" s="22">
        <v>24601004</v>
      </c>
      <c r="E158" s="77" t="s">
        <v>123</v>
      </c>
      <c r="F158" s="8">
        <f>IF(' جهات'!G411&gt;0,' جهات'!G411,"")</f>
        <v>400</v>
      </c>
      <c r="G158" s="8">
        <f>IF(' جهات'!H411&gt;0,' جهات'!H411,"")</f>
        <v>400</v>
      </c>
      <c r="H158" s="177">
        <f>IF(' جهات'!I411&gt;0,' جهات'!I411,"")</f>
        <v>350</v>
      </c>
      <c r="I158" s="8" t="str">
        <f>IF(' جهات'!J411&gt;0,' جهات'!J411,"")</f>
        <v/>
      </c>
      <c r="J158" s="167">
        <f t="shared" si="32"/>
        <v>0.875</v>
      </c>
      <c r="K158" s="168">
        <f t="shared" si="33"/>
        <v>9.7973351248460421E-6</v>
      </c>
    </row>
    <row r="159" spans="2:11" ht="14.25" customHeight="1" x14ac:dyDescent="0.2">
      <c r="B159" s="347"/>
      <c r="C159" s="345"/>
      <c r="D159" s="22">
        <v>24601006</v>
      </c>
      <c r="E159" s="77" t="s">
        <v>72</v>
      </c>
      <c r="F159" s="8">
        <f>IF(' جهات'!G412&gt;0,' جهات'!G412,"")</f>
        <v>7000</v>
      </c>
      <c r="G159" s="8">
        <f>IF(' جهات'!H412&gt;0,' جهات'!H412,"")</f>
        <v>7000</v>
      </c>
      <c r="H159" s="177">
        <f>IF(' جهات'!I412&gt;0,' جهات'!I412,"")</f>
        <v>7000</v>
      </c>
      <c r="I159" s="8" t="str">
        <f>IF(' جهات'!J412&gt;0,' جهات'!J412,"")</f>
        <v/>
      </c>
      <c r="J159" s="167">
        <f t="shared" si="32"/>
        <v>1</v>
      </c>
      <c r="K159" s="168">
        <f t="shared" si="33"/>
        <v>1.9594670249692083E-4</v>
      </c>
    </row>
    <row r="160" spans="2:11" ht="14.25" customHeight="1" x14ac:dyDescent="0.2">
      <c r="B160" s="347"/>
      <c r="C160" s="345"/>
      <c r="D160" s="22">
        <v>24601007</v>
      </c>
      <c r="E160" s="77" t="s">
        <v>73</v>
      </c>
      <c r="F160" s="8">
        <f>IF(' جهات'!G413&gt;0,' جهات'!G413,"")</f>
        <v>10000</v>
      </c>
      <c r="G160" s="8">
        <f>IF(' جهات'!H413&gt;0,' جهات'!H413,"")</f>
        <v>10000</v>
      </c>
      <c r="H160" s="177" t="str">
        <f>IF(' جهات'!I413&gt;0,' جهات'!I413,"")</f>
        <v/>
      </c>
      <c r="I160" s="8" t="str">
        <f>IF(' جهات'!J413&gt;0,' جهات'!J413,"")</f>
        <v/>
      </c>
      <c r="J160" s="167" t="str">
        <f t="shared" si="32"/>
        <v/>
      </c>
      <c r="K160" s="168" t="str">
        <f t="shared" si="33"/>
        <v/>
      </c>
    </row>
    <row r="161" spans="2:11" ht="14.25" customHeight="1" x14ac:dyDescent="0.2">
      <c r="B161" s="347"/>
      <c r="C161" s="345"/>
      <c r="D161" s="23">
        <v>24601009</v>
      </c>
      <c r="E161" s="79" t="s">
        <v>272</v>
      </c>
      <c r="F161" s="8">
        <f>IF(' جهات'!G414&gt;0,' جهات'!G414,"")</f>
        <v>400</v>
      </c>
      <c r="G161" s="8">
        <f>IF(' جهات'!H414&gt;0,' جهات'!H414,"")</f>
        <v>400</v>
      </c>
      <c r="H161" s="177" t="str">
        <f>IF(' جهات'!I414&gt;0,' جهات'!I414,"")</f>
        <v/>
      </c>
      <c r="I161" s="8" t="str">
        <f>IF(' جهات'!J414&gt;0,' جهات'!J414,"")</f>
        <v/>
      </c>
      <c r="J161" s="167" t="str">
        <f t="shared" si="32"/>
        <v/>
      </c>
      <c r="K161" s="168" t="str">
        <f t="shared" si="33"/>
        <v/>
      </c>
    </row>
    <row r="162" spans="2:11" s="37" customFormat="1" ht="14.25" customHeight="1" x14ac:dyDescent="0.2">
      <c r="B162" s="347"/>
      <c r="C162" s="345"/>
      <c r="D162" s="23">
        <v>24601010</v>
      </c>
      <c r="E162" s="131" t="s">
        <v>478</v>
      </c>
      <c r="F162" s="43">
        <f>IF(' جهات'!G415&gt;0,' جهات'!G415,"")</f>
        <v>400</v>
      </c>
      <c r="G162" s="43">
        <f>IF(' جهات'!H415&gt;0,' جهات'!H415,"")</f>
        <v>400</v>
      </c>
      <c r="H162" s="177">
        <f>IF(' جهات'!I415&gt;0,' جهات'!I415,"")</f>
        <v>394.52300000000002</v>
      </c>
      <c r="I162" s="43" t="str">
        <f>IF(' جهات'!J415&gt;0,' جهات'!J415,"")</f>
        <v/>
      </c>
      <c r="J162" s="167">
        <f t="shared" si="32"/>
        <v>0.98630750000000011</v>
      </c>
      <c r="K162" s="168">
        <f t="shared" si="33"/>
        <v>1.1043640129884672E-5</v>
      </c>
    </row>
    <row r="163" spans="2:11" x14ac:dyDescent="0.2">
      <c r="B163" s="347"/>
      <c r="C163" s="346" t="s">
        <v>21</v>
      </c>
      <c r="D163" s="346"/>
      <c r="E163" s="346"/>
      <c r="F163" s="60">
        <f t="shared" ref="F163:I163" si="36">SUM(F156:F162)</f>
        <v>23900</v>
      </c>
      <c r="G163" s="60">
        <f t="shared" si="36"/>
        <v>23900</v>
      </c>
      <c r="H163" s="60">
        <f>SUM(H156:H162)</f>
        <v>11284.522999999999</v>
      </c>
      <c r="I163" s="60">
        <f t="shared" si="36"/>
        <v>0</v>
      </c>
      <c r="J163" s="167">
        <f t="shared" si="32"/>
        <v>0.47215577405857739</v>
      </c>
      <c r="K163" s="168">
        <f t="shared" si="33"/>
        <v>3.1588072444295147E-4</v>
      </c>
    </row>
    <row r="164" spans="2:11" x14ac:dyDescent="0.2">
      <c r="B164" s="347"/>
      <c r="C164" s="348" t="s">
        <v>128</v>
      </c>
      <c r="D164" s="348"/>
      <c r="E164" s="348"/>
      <c r="F164" s="348"/>
      <c r="G164" s="348"/>
      <c r="H164" s="348"/>
      <c r="I164" s="348"/>
      <c r="J164" s="348"/>
      <c r="K164" s="348"/>
    </row>
    <row r="165" spans="2:11" ht="14.25" customHeight="1" x14ac:dyDescent="0.2">
      <c r="B165" s="347"/>
      <c r="C165" s="345">
        <v>2</v>
      </c>
      <c r="D165" s="22">
        <v>24602001</v>
      </c>
      <c r="E165" s="77" t="s">
        <v>74</v>
      </c>
      <c r="F165" s="8">
        <f>IF(' جهات'!G416&gt;0,' جهات'!G416,"")</f>
        <v>3600</v>
      </c>
      <c r="G165" s="8">
        <f>IF(' جهات'!H416&gt;0,' جهات'!H416,"")</f>
        <v>3600</v>
      </c>
      <c r="H165" s="177" t="str">
        <f>IF(' جهات'!I416&gt;0,' جهات'!I416,"")</f>
        <v/>
      </c>
      <c r="I165" s="8" t="str">
        <f>IF(' جهات'!J416&gt;0,' جهات'!J416,"")</f>
        <v/>
      </c>
      <c r="J165" s="167" t="str">
        <f t="shared" si="32"/>
        <v/>
      </c>
      <c r="K165" s="168" t="str">
        <f t="shared" si="33"/>
        <v/>
      </c>
    </row>
    <row r="166" spans="2:11" ht="14.25" customHeight="1" x14ac:dyDescent="0.2">
      <c r="B166" s="347"/>
      <c r="C166" s="345"/>
      <c r="D166" s="22">
        <v>24602002</v>
      </c>
      <c r="E166" s="77" t="s">
        <v>124</v>
      </c>
      <c r="F166" s="8">
        <f>IF(' جهات'!G417&gt;0,' جهات'!G417,"")</f>
        <v>2000</v>
      </c>
      <c r="G166" s="8">
        <f>IF(' جهات'!H417&gt;0,' جهات'!H417,"")</f>
        <v>2000</v>
      </c>
      <c r="H166" s="177" t="str">
        <f>IF(' جهات'!I417&gt;0,' جهات'!I417,"")</f>
        <v/>
      </c>
      <c r="I166" s="8" t="str">
        <f>IF(' جهات'!J417&gt;0,' جهات'!J417,"")</f>
        <v/>
      </c>
      <c r="J166" s="167" t="str">
        <f t="shared" si="32"/>
        <v/>
      </c>
      <c r="K166" s="168" t="str">
        <f t="shared" si="33"/>
        <v/>
      </c>
    </row>
    <row r="167" spans="2:11" ht="14.25" customHeight="1" x14ac:dyDescent="0.2">
      <c r="B167" s="347"/>
      <c r="C167" s="345"/>
      <c r="D167" s="22">
        <v>24602004</v>
      </c>
      <c r="E167" s="77" t="s">
        <v>125</v>
      </c>
      <c r="F167" s="8">
        <f>IF(' جهات'!G418&gt;0,' جهات'!G418,"")</f>
        <v>15000</v>
      </c>
      <c r="G167" s="8">
        <f>IF(' جهات'!H418&gt;0,' جهات'!H418,"")</f>
        <v>15000</v>
      </c>
      <c r="H167" s="177">
        <f>IF(' جهات'!I418&gt;0,' جهات'!I418,"")</f>
        <v>15000</v>
      </c>
      <c r="I167" s="8" t="str">
        <f>IF(' جهات'!J418&gt;0,' جهات'!J418,"")</f>
        <v/>
      </c>
      <c r="J167" s="167">
        <f t="shared" si="32"/>
        <v>1</v>
      </c>
      <c r="K167" s="168">
        <f t="shared" si="33"/>
        <v>4.1988579106483039E-4</v>
      </c>
    </row>
    <row r="168" spans="2:11" ht="14.25" customHeight="1" x14ac:dyDescent="0.2">
      <c r="B168" s="347"/>
      <c r="C168" s="345"/>
      <c r="D168" s="22">
        <v>24602007</v>
      </c>
      <c r="E168" s="77" t="s">
        <v>75</v>
      </c>
      <c r="F168" s="8">
        <f>IF(' جهات'!G419&gt;0,' جهات'!G419,"")</f>
        <v>500</v>
      </c>
      <c r="G168" s="8">
        <f>IF(' جهات'!H419&gt;0,' جهات'!H419,"")</f>
        <v>500</v>
      </c>
      <c r="H168" s="177" t="str">
        <f>IF(' جهات'!I419&gt;0,' جهات'!I419,"")</f>
        <v/>
      </c>
      <c r="I168" s="8" t="str">
        <f>IF(' جهات'!J419&gt;0,' جهات'!J419,"")</f>
        <v/>
      </c>
      <c r="J168" s="167" t="str">
        <f t="shared" si="32"/>
        <v/>
      </c>
      <c r="K168" s="168" t="str">
        <f t="shared" si="33"/>
        <v/>
      </c>
    </row>
    <row r="169" spans="2:11" x14ac:dyDescent="0.2">
      <c r="B169" s="347"/>
      <c r="C169" s="346" t="s">
        <v>21</v>
      </c>
      <c r="D169" s="346"/>
      <c r="E169" s="346"/>
      <c r="F169" s="60">
        <f t="shared" ref="F169:I169" si="37">SUM(F165:F168)</f>
        <v>21100</v>
      </c>
      <c r="G169" s="60">
        <f t="shared" si="37"/>
        <v>21100</v>
      </c>
      <c r="H169" s="60">
        <f>SUM(H165:H168)</f>
        <v>15000</v>
      </c>
      <c r="I169" s="60">
        <f t="shared" si="37"/>
        <v>0</v>
      </c>
      <c r="J169" s="167">
        <f t="shared" si="32"/>
        <v>0.7109004739336493</v>
      </c>
      <c r="K169" s="168">
        <f t="shared" si="33"/>
        <v>4.1988579106483039E-4</v>
      </c>
    </row>
    <row r="170" spans="2:11" x14ac:dyDescent="0.2">
      <c r="B170" s="347"/>
      <c r="C170" s="348" t="s">
        <v>129</v>
      </c>
      <c r="D170" s="348"/>
      <c r="E170" s="348"/>
      <c r="F170" s="348"/>
      <c r="G170" s="348"/>
      <c r="H170" s="348"/>
      <c r="I170" s="348"/>
      <c r="J170" s="348"/>
      <c r="K170" s="348"/>
    </row>
    <row r="171" spans="2:11" ht="14.25" customHeight="1" x14ac:dyDescent="0.2">
      <c r="B171" s="347"/>
      <c r="C171" s="345">
        <v>5</v>
      </c>
      <c r="D171" s="170">
        <v>24605003</v>
      </c>
      <c r="E171" s="77" t="s">
        <v>76</v>
      </c>
      <c r="F171" s="8">
        <f>IF(' جهات'!G420&gt;0,' جهات'!G420,"")</f>
        <v>5000</v>
      </c>
      <c r="G171" s="8">
        <f>IF(' جهات'!H420&gt;0,' جهات'!H420,"")</f>
        <v>5000</v>
      </c>
      <c r="H171" s="177" t="str">
        <f>IF(' جهات'!I420&gt;0,' جهات'!I420,"")</f>
        <v/>
      </c>
      <c r="I171" s="8" t="str">
        <f>IF(' جهات'!J420&gt;0,' جهات'!J420,"")</f>
        <v/>
      </c>
      <c r="J171" s="167" t="str">
        <f t="shared" si="32"/>
        <v/>
      </c>
      <c r="K171" s="168" t="str">
        <f t="shared" si="33"/>
        <v/>
      </c>
    </row>
    <row r="172" spans="2:11" ht="14.25" customHeight="1" x14ac:dyDescent="0.2">
      <c r="B172" s="347"/>
      <c r="C172" s="345"/>
      <c r="D172" s="22">
        <v>24605007</v>
      </c>
      <c r="E172" s="77" t="s">
        <v>77</v>
      </c>
      <c r="F172" s="8">
        <f>IF(' جهات'!G421&gt;0,' جهات'!G421,"")</f>
        <v>10000</v>
      </c>
      <c r="G172" s="8">
        <f>IF(' جهات'!H421&gt;0,' جهات'!H421,"")</f>
        <v>10000</v>
      </c>
      <c r="H172" s="177">
        <f>IF(' جهات'!I421&gt;0,' جهات'!I421,"")</f>
        <v>10000</v>
      </c>
      <c r="I172" s="8" t="str">
        <f>IF(' جهات'!J421&gt;0,' جهات'!J421,"")</f>
        <v/>
      </c>
      <c r="J172" s="167">
        <f t="shared" si="32"/>
        <v>1</v>
      </c>
      <c r="K172" s="168">
        <f t="shared" si="33"/>
        <v>2.7992386070988689E-4</v>
      </c>
    </row>
    <row r="173" spans="2:11" ht="14.25" customHeight="1" x14ac:dyDescent="0.2">
      <c r="B173" s="347"/>
      <c r="C173" s="345"/>
      <c r="D173" s="22">
        <v>24605009</v>
      </c>
      <c r="E173" s="77" t="s">
        <v>126</v>
      </c>
      <c r="F173" s="8">
        <f>IF(' جهات'!G422&gt;0,' جهات'!G422,"")</f>
        <v>25000</v>
      </c>
      <c r="G173" s="8">
        <f>IF(' جهات'!H422&gt;0,' جهات'!H422,"")</f>
        <v>25000</v>
      </c>
      <c r="H173" s="177">
        <f>IF(' جهات'!I422&gt;0,' جهات'!I422,"")</f>
        <v>25000</v>
      </c>
      <c r="I173" s="8" t="str">
        <f>IF(' جهات'!J422&gt;0,' جهات'!J422,"")</f>
        <v/>
      </c>
      <c r="J173" s="167">
        <f t="shared" si="32"/>
        <v>1</v>
      </c>
      <c r="K173" s="168">
        <f t="shared" si="33"/>
        <v>6.9980965177471723E-4</v>
      </c>
    </row>
    <row r="174" spans="2:11" ht="14.25" customHeight="1" x14ac:dyDescent="0.2">
      <c r="B174" s="347"/>
      <c r="C174" s="345"/>
      <c r="D174" s="22">
        <v>24605010</v>
      </c>
      <c r="E174" s="77" t="s">
        <v>78</v>
      </c>
      <c r="F174" s="8">
        <f>IF(' جهات'!G423&gt;0,' جهات'!G423,"")</f>
        <v>1500</v>
      </c>
      <c r="G174" s="8">
        <f>IF(' جهات'!H423&gt;0,' جهات'!H423,"")</f>
        <v>1500</v>
      </c>
      <c r="H174" s="177" t="str">
        <f>IF(' جهات'!I423&gt;0,' جهات'!I423,"")</f>
        <v/>
      </c>
      <c r="I174" s="8" t="str">
        <f>IF(' جهات'!J423&gt;0,' جهات'!J423,"")</f>
        <v/>
      </c>
      <c r="J174" s="167" t="str">
        <f t="shared" si="32"/>
        <v/>
      </c>
      <c r="K174" s="168" t="str">
        <f t="shared" si="33"/>
        <v/>
      </c>
    </row>
    <row r="175" spans="2:11" ht="14.25" customHeight="1" x14ac:dyDescent="0.2">
      <c r="B175" s="347"/>
      <c r="C175" s="345"/>
      <c r="D175" s="22">
        <v>24605016</v>
      </c>
      <c r="E175" s="77" t="s">
        <v>79</v>
      </c>
      <c r="F175" s="8">
        <f>IF(' جهات'!G424&gt;0,' جهات'!G424,"")</f>
        <v>2000</v>
      </c>
      <c r="G175" s="8">
        <f>IF(' جهات'!H424&gt;0,' جهات'!H424,"")</f>
        <v>2000</v>
      </c>
      <c r="H175" s="177" t="str">
        <f>IF(' جهات'!I424&gt;0,' جهات'!I424,"")</f>
        <v/>
      </c>
      <c r="I175" s="8" t="str">
        <f>IF(' جهات'!J424&gt;0,' جهات'!J424,"")</f>
        <v/>
      </c>
      <c r="J175" s="167" t="str">
        <f t="shared" si="32"/>
        <v/>
      </c>
      <c r="K175" s="168" t="str">
        <f t="shared" si="33"/>
        <v/>
      </c>
    </row>
    <row r="176" spans="2:11" ht="14.25" customHeight="1" x14ac:dyDescent="0.2">
      <c r="B176" s="347"/>
      <c r="C176" s="345"/>
      <c r="D176" s="22">
        <v>24605017</v>
      </c>
      <c r="E176" s="77" t="s">
        <v>80</v>
      </c>
      <c r="F176" s="8">
        <f>IF(' جهات'!G425&gt;0,' جهات'!G425,"")</f>
        <v>500</v>
      </c>
      <c r="G176" s="8">
        <f>IF(' جهات'!H425&gt;0,' جهات'!H425,"")</f>
        <v>500</v>
      </c>
      <c r="H176" s="177" t="str">
        <f>IF(' جهات'!I425&gt;0,' جهات'!I425,"")</f>
        <v/>
      </c>
      <c r="I176" s="8" t="str">
        <f>IF(' جهات'!J425&gt;0,' جهات'!J425,"")</f>
        <v/>
      </c>
      <c r="J176" s="167" t="str">
        <f t="shared" si="32"/>
        <v/>
      </c>
      <c r="K176" s="168" t="str">
        <f t="shared" si="33"/>
        <v/>
      </c>
    </row>
    <row r="177" spans="2:11" ht="14.25" customHeight="1" x14ac:dyDescent="0.2">
      <c r="B177" s="347"/>
      <c r="C177" s="345"/>
      <c r="D177" s="22">
        <v>24605020</v>
      </c>
      <c r="E177" s="77" t="s">
        <v>81</v>
      </c>
      <c r="F177" s="8">
        <f>IF(' جهات'!G426&gt;0,' جهات'!G426,"")</f>
        <v>5000</v>
      </c>
      <c r="G177" s="8">
        <f>IF(' جهات'!H426&gt;0,' جهات'!H426,"")</f>
        <v>5000</v>
      </c>
      <c r="H177" s="177">
        <f>IF(' جهات'!I426&gt;0,' جهات'!I426,"")</f>
        <v>5000</v>
      </c>
      <c r="I177" s="8" t="str">
        <f>IF(' جهات'!J426&gt;0,' جهات'!J426,"")</f>
        <v/>
      </c>
      <c r="J177" s="167">
        <f t="shared" si="32"/>
        <v>1</v>
      </c>
      <c r="K177" s="168">
        <f t="shared" si="33"/>
        <v>1.3996193035494345E-4</v>
      </c>
    </row>
    <row r="178" spans="2:11" ht="14.25" customHeight="1" x14ac:dyDescent="0.2">
      <c r="B178" s="347"/>
      <c r="C178" s="345"/>
      <c r="D178" s="22">
        <v>24605021</v>
      </c>
      <c r="E178" s="77" t="s">
        <v>82</v>
      </c>
      <c r="F178" s="8">
        <f>IF(' جهات'!G427&gt;0,' جهات'!G427,"")</f>
        <v>250</v>
      </c>
      <c r="G178" s="8">
        <f>IF(' جهات'!H427&gt;0,' جهات'!H427,"")</f>
        <v>250</v>
      </c>
      <c r="H178" s="177" t="str">
        <f>IF(' جهات'!I427&gt;0,' جهات'!I427,"")</f>
        <v/>
      </c>
      <c r="I178" s="8" t="str">
        <f>IF(' جهات'!J427&gt;0,' جهات'!J427,"")</f>
        <v/>
      </c>
      <c r="J178" s="167" t="str">
        <f t="shared" si="32"/>
        <v/>
      </c>
      <c r="K178" s="168" t="str">
        <f t="shared" si="33"/>
        <v/>
      </c>
    </row>
    <row r="179" spans="2:11" ht="14.25" customHeight="1" x14ac:dyDescent="0.2">
      <c r="B179" s="347"/>
      <c r="C179" s="345"/>
      <c r="D179" s="22">
        <v>24605022</v>
      </c>
      <c r="E179" s="77" t="s">
        <v>83</v>
      </c>
      <c r="F179" s="8">
        <f>IF(' جهات'!G428&gt;0,' جهات'!G428,"")</f>
        <v>250</v>
      </c>
      <c r="G179" s="8">
        <f>IF(' جهات'!H428&gt;0,' جهات'!H428,"")</f>
        <v>250</v>
      </c>
      <c r="H179" s="177">
        <f>IF(' جهات'!I428&gt;0,' جهات'!I428,"")</f>
        <v>250</v>
      </c>
      <c r="I179" s="8" t="str">
        <f>IF(' جهات'!J428&gt;0,' جهات'!J428,"")</f>
        <v/>
      </c>
      <c r="J179" s="167">
        <f t="shared" si="32"/>
        <v>1</v>
      </c>
      <c r="K179" s="168">
        <f t="shared" si="33"/>
        <v>6.9980965177471728E-6</v>
      </c>
    </row>
    <row r="180" spans="2:11" x14ac:dyDescent="0.2">
      <c r="B180" s="347"/>
      <c r="C180" s="346" t="s">
        <v>21</v>
      </c>
      <c r="D180" s="346"/>
      <c r="E180" s="346"/>
      <c r="F180" s="60">
        <f t="shared" ref="F180:I180" si="38">SUM(F171:F179)</f>
        <v>49500</v>
      </c>
      <c r="G180" s="60">
        <f>SUM(G171:G179)</f>
        <v>49500</v>
      </c>
      <c r="H180" s="60">
        <f>SUM(H171:H179)</f>
        <v>40250</v>
      </c>
      <c r="I180" s="60">
        <f t="shared" si="38"/>
        <v>0</v>
      </c>
      <c r="J180" s="167">
        <f t="shared" si="32"/>
        <v>0.81313131313131315</v>
      </c>
      <c r="K180" s="168">
        <f t="shared" si="33"/>
        <v>1.1266935393572947E-3</v>
      </c>
    </row>
    <row r="181" spans="2:11" x14ac:dyDescent="0.2">
      <c r="B181" s="321" t="s">
        <v>130</v>
      </c>
      <c r="C181" s="321"/>
      <c r="D181" s="321"/>
      <c r="E181" s="321"/>
      <c r="F181" s="61">
        <f t="shared" ref="F181:I181" si="39">F163+F169+F180</f>
        <v>94500</v>
      </c>
      <c r="G181" s="61">
        <f t="shared" si="39"/>
        <v>94500</v>
      </c>
      <c r="H181" s="61">
        <f>H163+H169+H180</f>
        <v>66534.523000000001</v>
      </c>
      <c r="I181" s="61">
        <f t="shared" si="39"/>
        <v>0</v>
      </c>
      <c r="J181" s="167">
        <f t="shared" si="32"/>
        <v>0.70406902645502645</v>
      </c>
      <c r="K181" s="168">
        <f t="shared" si="33"/>
        <v>1.8624600548650767E-3</v>
      </c>
    </row>
    <row r="182" spans="2:11" x14ac:dyDescent="0.2">
      <c r="B182" s="334" t="s">
        <v>287</v>
      </c>
      <c r="C182" s="334"/>
      <c r="D182" s="334"/>
      <c r="E182" s="334"/>
      <c r="F182" s="334"/>
      <c r="G182" s="334"/>
      <c r="H182" s="334"/>
      <c r="I182" s="334"/>
      <c r="J182" s="334"/>
      <c r="K182" s="334"/>
    </row>
    <row r="183" spans="2:11" x14ac:dyDescent="0.2">
      <c r="B183" s="347">
        <v>47</v>
      </c>
      <c r="C183" s="348" t="s">
        <v>288</v>
      </c>
      <c r="D183" s="348"/>
      <c r="E183" s="348"/>
      <c r="F183" s="348"/>
      <c r="G183" s="348"/>
      <c r="H183" s="348"/>
      <c r="I183" s="348"/>
      <c r="J183" s="348"/>
      <c r="K183" s="348"/>
    </row>
    <row r="184" spans="2:11" ht="14.25" customHeight="1" x14ac:dyDescent="0.2">
      <c r="B184" s="347"/>
      <c r="C184" s="171">
        <v>1</v>
      </c>
      <c r="D184" s="22">
        <v>24701001</v>
      </c>
      <c r="E184" s="77" t="s">
        <v>422</v>
      </c>
      <c r="F184" s="8">
        <f>IF(' جهات'!G431&gt;0,' جهات'!G431,"")</f>
        <v>1150000</v>
      </c>
      <c r="G184" s="8">
        <f>IF(' جهات'!H431&gt;0,' جهات'!H431,"")</f>
        <v>1150000</v>
      </c>
      <c r="H184" s="177">
        <f>IF(' جهات'!I431&gt;0,' جهات'!I431,"")</f>
        <v>502224.00300000003</v>
      </c>
      <c r="I184" s="8">
        <f>IF(' جهات'!J431&gt;0,' جهات'!J431,"")</f>
        <v>600958.60900000005</v>
      </c>
      <c r="J184" s="167">
        <f t="shared" si="32"/>
        <v>0.4367165243478261</v>
      </c>
      <c r="K184" s="168">
        <f t="shared" si="33"/>
        <v>1.4058448186093383E-2</v>
      </c>
    </row>
    <row r="185" spans="2:11" x14ac:dyDescent="0.2">
      <c r="B185" s="347"/>
      <c r="C185" s="346" t="s">
        <v>21</v>
      </c>
      <c r="D185" s="346"/>
      <c r="E185" s="346"/>
      <c r="F185" s="60">
        <f>SUM(F184)</f>
        <v>1150000</v>
      </c>
      <c r="G185" s="60">
        <f t="shared" ref="G185:I185" si="40">SUM(G184)</f>
        <v>1150000</v>
      </c>
      <c r="H185" s="60">
        <f>SUM(H184)</f>
        <v>502224.00300000003</v>
      </c>
      <c r="I185" s="60">
        <f t="shared" si="40"/>
        <v>600958.60900000005</v>
      </c>
      <c r="J185" s="167">
        <f t="shared" si="32"/>
        <v>0.4367165243478261</v>
      </c>
      <c r="K185" s="168">
        <f t="shared" si="33"/>
        <v>1.4058448186093383E-2</v>
      </c>
    </row>
    <row r="186" spans="2:11" x14ac:dyDescent="0.2">
      <c r="B186" s="321" t="s">
        <v>289</v>
      </c>
      <c r="C186" s="321"/>
      <c r="D186" s="321"/>
      <c r="E186" s="321"/>
      <c r="F186" s="61">
        <f>F185</f>
        <v>1150000</v>
      </c>
      <c r="G186" s="61">
        <f t="shared" ref="G186:I186" si="41">G185</f>
        <v>1150000</v>
      </c>
      <c r="H186" s="61">
        <f t="shared" si="41"/>
        <v>502224.00300000003</v>
      </c>
      <c r="I186" s="61">
        <f t="shared" si="41"/>
        <v>600958.60900000005</v>
      </c>
      <c r="J186" s="167">
        <f t="shared" si="32"/>
        <v>0.4367165243478261</v>
      </c>
      <c r="K186" s="168">
        <f t="shared" si="33"/>
        <v>1.4058448186093383E-2</v>
      </c>
    </row>
    <row r="187" spans="2:11" x14ac:dyDescent="0.2">
      <c r="B187" s="334" t="s">
        <v>796</v>
      </c>
      <c r="C187" s="334"/>
      <c r="D187" s="334"/>
      <c r="E187" s="334"/>
      <c r="F187" s="334"/>
      <c r="G187" s="334"/>
      <c r="H187" s="334"/>
      <c r="I187" s="334"/>
      <c r="J187" s="334"/>
      <c r="K187" s="334"/>
    </row>
    <row r="188" spans="2:11" x14ac:dyDescent="0.2">
      <c r="B188" s="347">
        <v>49</v>
      </c>
      <c r="C188" s="348" t="s">
        <v>131</v>
      </c>
      <c r="D188" s="348"/>
      <c r="E188" s="348"/>
      <c r="F188" s="348"/>
      <c r="G188" s="348"/>
      <c r="H188" s="348"/>
      <c r="I188" s="348"/>
      <c r="J188" s="348"/>
      <c r="K188" s="348"/>
    </row>
    <row r="189" spans="2:11" ht="14.25" customHeight="1" x14ac:dyDescent="0.2">
      <c r="B189" s="347"/>
      <c r="C189" s="171">
        <v>1</v>
      </c>
      <c r="D189" s="22">
        <v>24903001</v>
      </c>
      <c r="E189" s="77" t="s">
        <v>84</v>
      </c>
      <c r="F189" s="8">
        <f>IF(' جهات'!G405&gt;0,' جهات'!G405,"")</f>
        <v>800000</v>
      </c>
      <c r="G189" s="8">
        <f>IF(' جهات'!H405&gt;0,' جهات'!H405,"")</f>
        <v>800000</v>
      </c>
      <c r="H189" s="177">
        <f>IF(' جهات'!I405&gt;0,' جهات'!I405,"")</f>
        <v>569621.19700000004</v>
      </c>
      <c r="I189" s="8" t="str">
        <f>IF(' جهات'!J405&gt;0,' جهات'!J405,"")</f>
        <v/>
      </c>
      <c r="J189" s="167">
        <f t="shared" si="32"/>
        <v>0.71202649625000003</v>
      </c>
      <c r="K189" s="168">
        <f t="shared" si="33"/>
        <v>1.5945056460642707E-2</v>
      </c>
    </row>
    <row r="190" spans="2:11" x14ac:dyDescent="0.2">
      <c r="B190" s="347"/>
      <c r="C190" s="346" t="s">
        <v>21</v>
      </c>
      <c r="D190" s="346"/>
      <c r="E190" s="346"/>
      <c r="F190" s="60">
        <f>SUM(F189)</f>
        <v>800000</v>
      </c>
      <c r="G190" s="60">
        <f t="shared" ref="G190:I190" si="42">SUM(G189)</f>
        <v>800000</v>
      </c>
      <c r="H190" s="60">
        <f t="shared" si="42"/>
        <v>569621.19700000004</v>
      </c>
      <c r="I190" s="60">
        <f t="shared" si="42"/>
        <v>0</v>
      </c>
      <c r="J190" s="167">
        <f t="shared" si="32"/>
        <v>0.71202649625000003</v>
      </c>
      <c r="K190" s="168">
        <f t="shared" si="33"/>
        <v>1.5945056460642707E-2</v>
      </c>
    </row>
    <row r="191" spans="2:11" x14ac:dyDescent="0.2">
      <c r="B191" s="321" t="s">
        <v>798</v>
      </c>
      <c r="C191" s="321"/>
      <c r="D191" s="321"/>
      <c r="E191" s="321"/>
      <c r="F191" s="61">
        <f>F190</f>
        <v>800000</v>
      </c>
      <c r="G191" s="61">
        <f t="shared" ref="G191:I191" si="43">G190</f>
        <v>800000</v>
      </c>
      <c r="H191" s="61">
        <f t="shared" si="43"/>
        <v>569621.19700000004</v>
      </c>
      <c r="I191" s="61">
        <f t="shared" si="43"/>
        <v>0</v>
      </c>
      <c r="J191" s="167">
        <f t="shared" si="32"/>
        <v>0.71202649625000003</v>
      </c>
      <c r="K191" s="168">
        <f t="shared" si="33"/>
        <v>1.5945056460642707E-2</v>
      </c>
    </row>
    <row r="192" spans="2:11" x14ac:dyDescent="0.2">
      <c r="B192" s="334" t="s">
        <v>797</v>
      </c>
      <c r="C192" s="334"/>
      <c r="D192" s="334"/>
      <c r="E192" s="334"/>
      <c r="F192" s="334"/>
      <c r="G192" s="334"/>
      <c r="H192" s="334"/>
      <c r="I192" s="334"/>
      <c r="J192" s="334"/>
      <c r="K192" s="334"/>
    </row>
    <row r="193" spans="2:11" x14ac:dyDescent="0.2">
      <c r="B193" s="347"/>
      <c r="C193" s="348" t="s">
        <v>132</v>
      </c>
      <c r="D193" s="348"/>
      <c r="E193" s="348"/>
      <c r="F193" s="348"/>
      <c r="G193" s="348"/>
      <c r="H193" s="348"/>
      <c r="I193" s="348"/>
      <c r="J193" s="348"/>
      <c r="K193" s="348"/>
    </row>
    <row r="194" spans="2:11" ht="14.25" customHeight="1" x14ac:dyDescent="0.2">
      <c r="B194" s="347"/>
      <c r="C194" s="171">
        <v>2</v>
      </c>
      <c r="D194" s="22">
        <v>25002002</v>
      </c>
      <c r="E194" s="40" t="s">
        <v>133</v>
      </c>
      <c r="F194" s="8">
        <f>IF(' جهات'!G406&gt;0,' جهات'!G406,"")</f>
        <v>100000</v>
      </c>
      <c r="G194" s="8">
        <f>IF(' جهات'!H406&gt;0,' جهات'!H406,"")</f>
        <v>100000</v>
      </c>
      <c r="H194" s="177" t="str">
        <f>IF(' جهات'!I406&gt;0,' جهات'!I406,"")</f>
        <v/>
      </c>
      <c r="I194" s="8" t="str">
        <f>IF(' جهات'!J406&gt;0,' جهات'!J406,"")</f>
        <v/>
      </c>
      <c r="J194" s="167" t="str">
        <f t="shared" si="32"/>
        <v/>
      </c>
      <c r="K194" s="168" t="str">
        <f t="shared" si="33"/>
        <v/>
      </c>
    </row>
    <row r="195" spans="2:11" x14ac:dyDescent="0.2">
      <c r="B195" s="347"/>
      <c r="C195" s="346" t="s">
        <v>21</v>
      </c>
      <c r="D195" s="346"/>
      <c r="E195" s="346"/>
      <c r="F195" s="60">
        <f>SUM(F194:F194)</f>
        <v>100000</v>
      </c>
      <c r="G195" s="60">
        <f>SUM(G194:G194)</f>
        <v>100000</v>
      </c>
      <c r="H195" s="60">
        <f>SUM(H194:H194)</f>
        <v>0</v>
      </c>
      <c r="I195" s="60">
        <f>SUM(I194:I194)</f>
        <v>0</v>
      </c>
      <c r="J195" s="167">
        <f t="shared" si="32"/>
        <v>0</v>
      </c>
      <c r="K195" s="168">
        <f t="shared" si="33"/>
        <v>0</v>
      </c>
    </row>
    <row r="196" spans="2:11" x14ac:dyDescent="0.2">
      <c r="B196" s="321" t="s">
        <v>799</v>
      </c>
      <c r="C196" s="321"/>
      <c r="D196" s="321"/>
      <c r="E196" s="321"/>
      <c r="F196" s="61">
        <f>F195</f>
        <v>100000</v>
      </c>
      <c r="G196" s="61">
        <f t="shared" ref="G196:I196" si="44">G195</f>
        <v>100000</v>
      </c>
      <c r="H196" s="61">
        <f t="shared" si="44"/>
        <v>0</v>
      </c>
      <c r="I196" s="61">
        <f t="shared" si="44"/>
        <v>0</v>
      </c>
      <c r="J196" s="167">
        <f t="shared" si="32"/>
        <v>0</v>
      </c>
      <c r="K196" s="168">
        <f t="shared" si="33"/>
        <v>0</v>
      </c>
    </row>
    <row r="197" spans="2:11" x14ac:dyDescent="0.2">
      <c r="B197" s="339" t="s">
        <v>134</v>
      </c>
      <c r="C197" s="339"/>
      <c r="D197" s="339"/>
      <c r="E197" s="339"/>
      <c r="F197" s="54">
        <f>F32+F49+F83+F114+F153+F181+F186+F191+F196</f>
        <v>31092000</v>
      </c>
      <c r="G197" s="54">
        <f>G32+G49+G83+G114+G153+G181+G186+G191+G196</f>
        <v>31092000</v>
      </c>
      <c r="H197" s="54">
        <f>H32+H49+H83+H114+H153+H181+H186+H191+H196</f>
        <v>25945527.291000001</v>
      </c>
      <c r="I197" s="54">
        <f>I32+I49+I83+I114+I153+I181+I186+I191+I196</f>
        <v>1482083.9550000001</v>
      </c>
      <c r="J197" s="167">
        <f t="shared" si="32"/>
        <v>0.83447598388653033</v>
      </c>
      <c r="K197" s="168">
        <f t="shared" si="33"/>
        <v>0.72627721674504542</v>
      </c>
    </row>
    <row r="198" spans="2:11" x14ac:dyDescent="0.2">
      <c r="B198" s="309" t="s">
        <v>273</v>
      </c>
      <c r="C198" s="309"/>
      <c r="D198" s="309"/>
      <c r="E198" s="309"/>
      <c r="F198" s="309"/>
      <c r="G198" s="309"/>
      <c r="H198" s="309"/>
      <c r="I198" s="309"/>
      <c r="J198" s="309"/>
      <c r="K198" s="309"/>
    </row>
    <row r="199" spans="2:11" x14ac:dyDescent="0.2">
      <c r="B199" s="334" t="s">
        <v>782</v>
      </c>
      <c r="C199" s="334"/>
      <c r="D199" s="334"/>
      <c r="E199" s="334"/>
      <c r="F199" s="334"/>
      <c r="G199" s="334"/>
      <c r="H199" s="334"/>
      <c r="I199" s="334"/>
      <c r="J199" s="334"/>
      <c r="K199" s="334"/>
    </row>
    <row r="200" spans="2:11" x14ac:dyDescent="0.2">
      <c r="B200" s="347">
        <v>51</v>
      </c>
      <c r="C200" s="348" t="s">
        <v>279</v>
      </c>
      <c r="D200" s="348"/>
      <c r="E200" s="348"/>
      <c r="F200" s="348"/>
      <c r="G200" s="348"/>
      <c r="H200" s="348"/>
      <c r="I200" s="348"/>
      <c r="J200" s="348"/>
      <c r="K200" s="348"/>
    </row>
    <row r="201" spans="2:11" ht="14.25" customHeight="1" x14ac:dyDescent="0.2">
      <c r="B201" s="347"/>
      <c r="C201" s="345">
        <v>1</v>
      </c>
      <c r="D201" s="22">
        <v>25101001</v>
      </c>
      <c r="E201" s="40" t="s">
        <v>85</v>
      </c>
      <c r="F201" s="8">
        <f>IF(' جهات'!G155&gt;0,' جهات'!G155,"")</f>
        <v>100000</v>
      </c>
      <c r="G201" s="8">
        <f>IF(' جهات'!H155&gt;0,' جهات'!H155,"")</f>
        <v>10000</v>
      </c>
      <c r="H201" s="177" t="str">
        <f>IF(' جهات'!I155&gt;0,' جهات'!I155,"")</f>
        <v/>
      </c>
      <c r="I201" s="8">
        <f>IF(' جهات'!J155&gt;0,' جهات'!J155,"")</f>
        <v>5000</v>
      </c>
      <c r="J201" s="167" t="str">
        <f t="shared" ref="J201:J263" si="45">IFERROR(H201/G201,"")</f>
        <v/>
      </c>
      <c r="K201" s="168" t="str">
        <f t="shared" ref="K201:K263" si="46">IFERROR(H201/$G$351,"")</f>
        <v/>
      </c>
    </row>
    <row r="202" spans="2:11" ht="14.25" customHeight="1" x14ac:dyDescent="0.2">
      <c r="B202" s="347"/>
      <c r="C202" s="345"/>
      <c r="D202" s="23">
        <v>25101002</v>
      </c>
      <c r="E202" s="80" t="s">
        <v>86</v>
      </c>
      <c r="F202" s="8">
        <f>IF(' جهات'!G156&gt;0,' جهات'!G156,"")</f>
        <v>60000</v>
      </c>
      <c r="G202" s="8">
        <f>IF(' جهات'!H156&gt;0,' جهات'!H156,"")</f>
        <v>35000</v>
      </c>
      <c r="H202" s="177">
        <f>IF(' جهات'!I156&gt;0,' جهات'!I156,"")</f>
        <v>20775</v>
      </c>
      <c r="I202" s="8" t="str">
        <f>IF(' جهات'!J156&gt;0,' جهات'!J156,"")</f>
        <v/>
      </c>
      <c r="J202" s="167">
        <f t="shared" si="45"/>
        <v>0.59357142857142853</v>
      </c>
      <c r="K202" s="168">
        <f t="shared" si="46"/>
        <v>5.8154182062479011E-4</v>
      </c>
    </row>
    <row r="203" spans="2:11" ht="14.25" customHeight="1" x14ac:dyDescent="0.2">
      <c r="B203" s="347"/>
      <c r="C203" s="345"/>
      <c r="D203" s="23">
        <v>25101007</v>
      </c>
      <c r="E203" s="80" t="s">
        <v>88</v>
      </c>
      <c r="F203" s="8">
        <f>IF(' جهات'!G372&gt;0,+' جهات'!G372,"")</f>
        <v>300000</v>
      </c>
      <c r="G203" s="8">
        <f>IF(' جهات'!H372&gt;0,+' جهات'!H372,"")</f>
        <v>594000</v>
      </c>
      <c r="H203" s="177">
        <f>IF(' جهات'!I372&gt;0,+' جهات'!I372,"")</f>
        <v>593529.59999999998</v>
      </c>
      <c r="I203" s="8" t="str">
        <f>IF(' جهات'!J372&gt;0,+' جهات'!J372,"")</f>
        <v/>
      </c>
      <c r="J203" s="167">
        <f t="shared" si="45"/>
        <v>0.99920808080808077</v>
      </c>
      <c r="K203" s="168">
        <f t="shared" si="46"/>
        <v>1.6614309707759487E-2</v>
      </c>
    </row>
    <row r="204" spans="2:11" ht="14.25" customHeight="1" x14ac:dyDescent="0.2">
      <c r="B204" s="347"/>
      <c r="C204" s="345"/>
      <c r="D204" s="23">
        <v>25101008</v>
      </c>
      <c r="E204" s="80" t="s">
        <v>89</v>
      </c>
      <c r="F204" s="8">
        <f>IF(' جهات'!G373&gt;0,+' جهات'!G373,"")</f>
        <v>150000</v>
      </c>
      <c r="G204" s="8">
        <f>IF(' جهات'!H373&gt;0,+' جهات'!H373,"")</f>
        <v>133000</v>
      </c>
      <c r="H204" s="177">
        <f>IF(' جهات'!I373&gt;0,+' جهات'!I373,"")</f>
        <v>128943</v>
      </c>
      <c r="I204" s="8" t="str">
        <f>IF(' جهات'!J373&gt;0,+' جهات'!J373,"")</f>
        <v/>
      </c>
      <c r="J204" s="167">
        <f t="shared" si="45"/>
        <v>0.96949624060150374</v>
      </c>
      <c r="K204" s="168">
        <f t="shared" si="46"/>
        <v>3.6094222371514948E-3</v>
      </c>
    </row>
    <row r="205" spans="2:11" ht="14.25" customHeight="1" x14ac:dyDescent="0.2">
      <c r="B205" s="347"/>
      <c r="C205" s="345"/>
      <c r="D205" s="13">
        <v>25101009</v>
      </c>
      <c r="E205" s="39" t="s">
        <v>424</v>
      </c>
      <c r="F205" s="8">
        <f>IF(' جهات'!G374&gt;0,+' جهات'!G374,"")</f>
        <v>180000</v>
      </c>
      <c r="G205" s="8">
        <f>IF(' جهات'!H374&gt;0,+' جهات'!H374,"")</f>
        <v>207000</v>
      </c>
      <c r="H205" s="177">
        <f>IF(' جهات'!I374&gt;0,+' جهات'!I374,"")</f>
        <v>205378</v>
      </c>
      <c r="I205" s="8" t="str">
        <f>IF(' جهات'!J374&gt;0,+' جهات'!J374,"")</f>
        <v/>
      </c>
      <c r="J205" s="167">
        <f t="shared" si="45"/>
        <v>0.99216425120772944</v>
      </c>
      <c r="K205" s="168">
        <f t="shared" si="46"/>
        <v>5.7490202664875157E-3</v>
      </c>
    </row>
    <row r="206" spans="2:11" ht="14.25" customHeight="1" x14ac:dyDescent="0.2">
      <c r="B206" s="347"/>
      <c r="C206" s="345"/>
      <c r="D206" s="23">
        <v>25101011</v>
      </c>
      <c r="E206" s="80" t="s">
        <v>97</v>
      </c>
      <c r="F206" s="8">
        <f>IF(' جهات'!G30&gt;0,' جهات'!G30,"")</f>
        <v>30000</v>
      </c>
      <c r="G206" s="8">
        <f>IF(' جهات'!H30&gt;0,' جهات'!H30,"")</f>
        <v>40000</v>
      </c>
      <c r="H206" s="177">
        <f>IF(' جهات'!I30&gt;0,' جهات'!I30,"")</f>
        <v>33133.493999999999</v>
      </c>
      <c r="I206" s="8" t="str">
        <f>IF(' جهات'!J30&gt;0,' جهات'!J30,"")</f>
        <v/>
      </c>
      <c r="J206" s="167">
        <f t="shared" si="45"/>
        <v>0.82833734999999997</v>
      </c>
      <c r="K206" s="168">
        <f t="shared" si="46"/>
        <v>9.274855559287873E-4</v>
      </c>
    </row>
    <row r="207" spans="2:11" x14ac:dyDescent="0.2">
      <c r="B207" s="347"/>
      <c r="C207" s="346" t="s">
        <v>21</v>
      </c>
      <c r="D207" s="346"/>
      <c r="E207" s="346"/>
      <c r="F207" s="60">
        <f>SUM(F201:F206)</f>
        <v>820000</v>
      </c>
      <c r="G207" s="60">
        <f>SUM(G201:G206)</f>
        <v>1019000</v>
      </c>
      <c r="H207" s="60">
        <f>SUM(H201:H206)</f>
        <v>981759.09399999992</v>
      </c>
      <c r="I207" s="60">
        <f t="shared" ref="I207" si="47">SUM(I201:I206)</f>
        <v>5000</v>
      </c>
      <c r="J207" s="167">
        <f t="shared" si="45"/>
        <v>0.96345347791952884</v>
      </c>
      <c r="K207" s="168">
        <f t="shared" si="46"/>
        <v>2.7481779587952074E-2</v>
      </c>
    </row>
    <row r="208" spans="2:11" s="37" customFormat="1" x14ac:dyDescent="0.2">
      <c r="B208" s="347"/>
      <c r="C208" s="348" t="s">
        <v>490</v>
      </c>
      <c r="D208" s="348"/>
      <c r="E208" s="348"/>
      <c r="F208" s="348"/>
      <c r="G208" s="348"/>
      <c r="H208" s="348"/>
      <c r="I208" s="348"/>
      <c r="J208" s="167" t="str">
        <f t="shared" si="45"/>
        <v/>
      </c>
      <c r="K208" s="168">
        <f t="shared" si="46"/>
        <v>0</v>
      </c>
    </row>
    <row r="209" spans="2:11" s="37" customFormat="1" x14ac:dyDescent="0.2">
      <c r="B209" s="347"/>
      <c r="C209" s="171">
        <v>2</v>
      </c>
      <c r="D209" s="23">
        <v>25102001</v>
      </c>
      <c r="E209" s="131" t="s">
        <v>482</v>
      </c>
      <c r="F209" s="43">
        <f>IF(' جهات'!G157&gt;0,' جهات'!G157,"")</f>
        <v>15000</v>
      </c>
      <c r="G209" s="43">
        <f>IF(' جهات'!H157&gt;0,' جهات'!H157,"")</f>
        <v>15000</v>
      </c>
      <c r="H209" s="177">
        <f>IF(' جهات'!I157&gt;0,' جهات'!I157,"")</f>
        <v>4598.7370000000001</v>
      </c>
      <c r="I209" s="43" t="str">
        <f>IF(' جهات'!J157&gt;0,' جهات'!J157,"")</f>
        <v/>
      </c>
      <c r="J209" s="167">
        <f t="shared" si="45"/>
        <v>0.30658246666666666</v>
      </c>
      <c r="K209" s="168">
        <f t="shared" si="46"/>
        <v>1.2872962154294033E-4</v>
      </c>
    </row>
    <row r="210" spans="2:11" s="37" customFormat="1" x14ac:dyDescent="0.2">
      <c r="B210" s="347"/>
      <c r="C210" s="346" t="s">
        <v>21</v>
      </c>
      <c r="D210" s="346"/>
      <c r="E210" s="346"/>
      <c r="F210" s="60">
        <f>SUM(F209)</f>
        <v>15000</v>
      </c>
      <c r="G210" s="60">
        <f t="shared" ref="G210:I210" si="48">SUM(G209)</f>
        <v>15000</v>
      </c>
      <c r="H210" s="60">
        <f t="shared" si="48"/>
        <v>4598.7370000000001</v>
      </c>
      <c r="I210" s="60">
        <f t="shared" si="48"/>
        <v>0</v>
      </c>
      <c r="J210" s="167">
        <f t="shared" si="45"/>
        <v>0.30658246666666666</v>
      </c>
      <c r="K210" s="168">
        <f t="shared" si="46"/>
        <v>1.2872962154294033E-4</v>
      </c>
    </row>
    <row r="211" spans="2:11" x14ac:dyDescent="0.2">
      <c r="B211" s="321" t="s">
        <v>783</v>
      </c>
      <c r="C211" s="321"/>
      <c r="D211" s="321"/>
      <c r="E211" s="321"/>
      <c r="F211" s="61">
        <f>F207+F210</f>
        <v>835000</v>
      </c>
      <c r="G211" s="61">
        <f t="shared" ref="G211:I211" si="49">G207+G210</f>
        <v>1034000</v>
      </c>
      <c r="H211" s="61">
        <f t="shared" si="49"/>
        <v>986357.83099999989</v>
      </c>
      <c r="I211" s="61">
        <f t="shared" si="49"/>
        <v>5000</v>
      </c>
      <c r="J211" s="167">
        <f t="shared" si="45"/>
        <v>0.95392440135396506</v>
      </c>
      <c r="K211" s="168">
        <f t="shared" si="46"/>
        <v>2.7610509209495013E-2</v>
      </c>
    </row>
    <row r="212" spans="2:11" x14ac:dyDescent="0.2">
      <c r="B212" s="334" t="s">
        <v>278</v>
      </c>
      <c r="C212" s="334"/>
      <c r="D212" s="334"/>
      <c r="E212" s="334"/>
      <c r="F212" s="334"/>
      <c r="G212" s="334"/>
      <c r="H212" s="334"/>
      <c r="I212" s="334"/>
      <c r="J212" s="334"/>
      <c r="K212" s="334"/>
    </row>
    <row r="213" spans="2:11" x14ac:dyDescent="0.2">
      <c r="B213" s="347">
        <v>52</v>
      </c>
      <c r="C213" s="348" t="s">
        <v>275</v>
      </c>
      <c r="D213" s="348"/>
      <c r="E213" s="348"/>
      <c r="F213" s="348"/>
      <c r="G213" s="348"/>
      <c r="H213" s="348"/>
      <c r="I213" s="348"/>
      <c r="J213" s="348"/>
      <c r="K213" s="348"/>
    </row>
    <row r="214" spans="2:11" ht="14.25" customHeight="1" x14ac:dyDescent="0.2">
      <c r="B214" s="347"/>
      <c r="C214" s="345">
        <v>1</v>
      </c>
      <c r="D214" s="23">
        <v>25201004</v>
      </c>
      <c r="E214" s="80" t="s">
        <v>91</v>
      </c>
      <c r="F214" s="8">
        <f>IF(' جهات'!G148&gt;0,' جهات'!G148,"")</f>
        <v>5000</v>
      </c>
      <c r="G214" s="8">
        <f>IF(' جهات'!H148&gt;0,' جهات'!H148,"")</f>
        <v>5000</v>
      </c>
      <c r="H214" s="177" t="str">
        <f>IF(' جهات'!I148&gt;0,' جهات'!I148,"")</f>
        <v/>
      </c>
      <c r="I214" s="8" t="str">
        <f>IF(' جهات'!J148&gt;0,' جهات'!J148,"")</f>
        <v/>
      </c>
      <c r="J214" s="167" t="str">
        <f t="shared" si="45"/>
        <v/>
      </c>
      <c r="K214" s="168" t="str">
        <f t="shared" si="46"/>
        <v/>
      </c>
    </row>
    <row r="215" spans="2:11" ht="14.25" customHeight="1" x14ac:dyDescent="0.2">
      <c r="B215" s="347"/>
      <c r="C215" s="345"/>
      <c r="D215" s="23">
        <v>25201005</v>
      </c>
      <c r="E215" s="79" t="s">
        <v>87</v>
      </c>
      <c r="F215" s="8">
        <f>IF(' جهات'!G149&gt;0,' جهات'!G149,"")</f>
        <v>10000</v>
      </c>
      <c r="G215" s="8">
        <f>IF(' جهات'!H149&gt;0,' جهات'!H149,"")</f>
        <v>10000</v>
      </c>
      <c r="H215" s="177">
        <f>IF(' جهات'!I149&gt;0,' جهات'!I149,"")</f>
        <v>300</v>
      </c>
      <c r="I215" s="8">
        <f>IF(' جهات'!J149&gt;0,' جهات'!J149,"")</f>
        <v>600</v>
      </c>
      <c r="J215" s="167">
        <f t="shared" si="45"/>
        <v>0.03</v>
      </c>
      <c r="K215" s="168">
        <f t="shared" si="46"/>
        <v>8.397715821296607E-6</v>
      </c>
    </row>
    <row r="216" spans="2:11" x14ac:dyDescent="0.2">
      <c r="B216" s="347"/>
      <c r="C216" s="346" t="s">
        <v>21</v>
      </c>
      <c r="D216" s="346"/>
      <c r="E216" s="346"/>
      <c r="F216" s="60">
        <f>SUM(F214:F215)</f>
        <v>15000</v>
      </c>
      <c r="G216" s="60">
        <f>SUM(G214:G215)</f>
        <v>15000</v>
      </c>
      <c r="H216" s="60">
        <f t="shared" ref="H216:I216" si="50">SUM(H214:H215)</f>
        <v>300</v>
      </c>
      <c r="I216" s="60">
        <f t="shared" si="50"/>
        <v>600</v>
      </c>
      <c r="J216" s="167">
        <f t="shared" si="45"/>
        <v>0.02</v>
      </c>
      <c r="K216" s="168">
        <f t="shared" si="46"/>
        <v>8.397715821296607E-6</v>
      </c>
    </row>
    <row r="217" spans="2:11" x14ac:dyDescent="0.2">
      <c r="B217" s="321" t="s">
        <v>276</v>
      </c>
      <c r="C217" s="321"/>
      <c r="D217" s="321"/>
      <c r="E217" s="321"/>
      <c r="F217" s="61">
        <f>F216</f>
        <v>15000</v>
      </c>
      <c r="G217" s="61">
        <f t="shared" ref="G217:I217" si="51">G216</f>
        <v>15000</v>
      </c>
      <c r="H217" s="61">
        <f t="shared" si="51"/>
        <v>300</v>
      </c>
      <c r="I217" s="61">
        <f t="shared" si="51"/>
        <v>600</v>
      </c>
      <c r="J217" s="167">
        <f t="shared" si="45"/>
        <v>0.02</v>
      </c>
      <c r="K217" s="168">
        <f t="shared" si="46"/>
        <v>8.397715821296607E-6</v>
      </c>
    </row>
    <row r="218" spans="2:11" x14ac:dyDescent="0.2">
      <c r="B218" s="334" t="s">
        <v>277</v>
      </c>
      <c r="C218" s="334"/>
      <c r="D218" s="334"/>
      <c r="E218" s="334"/>
      <c r="F218" s="334"/>
      <c r="G218" s="334"/>
      <c r="H218" s="334"/>
      <c r="I218" s="334"/>
      <c r="J218" s="334"/>
      <c r="K218" s="334"/>
    </row>
    <row r="219" spans="2:11" x14ac:dyDescent="0.2">
      <c r="B219" s="347">
        <v>53</v>
      </c>
      <c r="C219" s="348" t="s">
        <v>280</v>
      </c>
      <c r="D219" s="348"/>
      <c r="E219" s="348"/>
      <c r="F219" s="348"/>
      <c r="G219" s="348"/>
      <c r="H219" s="348"/>
      <c r="I219" s="348"/>
      <c r="J219" s="348"/>
      <c r="K219" s="348"/>
    </row>
    <row r="220" spans="2:11" ht="14.25" customHeight="1" x14ac:dyDescent="0.2">
      <c r="B220" s="347"/>
      <c r="C220" s="345">
        <v>1</v>
      </c>
      <c r="D220" s="22">
        <v>25301001</v>
      </c>
      <c r="E220" s="40" t="s">
        <v>92</v>
      </c>
      <c r="F220" s="8">
        <f>IF(' جهات'!G158&gt;0,' جهات'!G158,"")</f>
        <v>100000</v>
      </c>
      <c r="G220" s="8">
        <f>IF(' جهات'!H158&gt;0,' جهات'!H158,"")</f>
        <v>10000</v>
      </c>
      <c r="H220" s="177">
        <f>IF(' جهات'!I158&gt;0,' جهات'!I158,"")</f>
        <v>2356.25</v>
      </c>
      <c r="I220" s="8" t="str">
        <f>IF(' جهات'!J158&gt;0,' جهات'!J158,"")</f>
        <v/>
      </c>
      <c r="J220" s="167">
        <f t="shared" si="45"/>
        <v>0.235625</v>
      </c>
      <c r="K220" s="168">
        <f t="shared" si="46"/>
        <v>6.5957059679767102E-5</v>
      </c>
    </row>
    <row r="221" spans="2:11" ht="14.25" customHeight="1" x14ac:dyDescent="0.2">
      <c r="B221" s="347"/>
      <c r="C221" s="345"/>
      <c r="D221" s="22">
        <v>25301002</v>
      </c>
      <c r="E221" s="40" t="s">
        <v>93</v>
      </c>
      <c r="F221" s="8">
        <f>IF(' جهات'!G159+' جهات'!G142&gt;0,' جهات'!G159+' جهات'!G142,"")</f>
        <v>20000</v>
      </c>
      <c r="G221" s="8">
        <f>IF(' جهات'!H159+' جهات'!H142&gt;0,' جهات'!H159+' جهات'!H142,"")</f>
        <v>20000</v>
      </c>
      <c r="H221" s="177" t="str">
        <f>IF(' جهات'!I159+' جهات'!I142&gt;0,' جهات'!I159+' جهات'!I142,"")</f>
        <v/>
      </c>
      <c r="I221" s="8" t="str">
        <f>IF(' جهات'!J159+' جهات'!J142&gt;0,' جهات'!J159+' جهات'!J142,"")</f>
        <v/>
      </c>
      <c r="J221" s="167" t="str">
        <f t="shared" si="45"/>
        <v/>
      </c>
      <c r="K221" s="168" t="str">
        <f t="shared" si="46"/>
        <v/>
      </c>
    </row>
    <row r="222" spans="2:11" ht="14.25" customHeight="1" x14ac:dyDescent="0.2">
      <c r="B222" s="347"/>
      <c r="C222" s="345"/>
      <c r="D222" s="22">
        <v>25301003</v>
      </c>
      <c r="E222" s="40" t="s">
        <v>94</v>
      </c>
      <c r="F222" s="8">
        <f>IF(' جهات'!G160&gt;0,' جهات'!G160,"")</f>
        <v>10000</v>
      </c>
      <c r="G222" s="8">
        <f>IF(' جهات'!H160&gt;0,' جهات'!H160,"")</f>
        <v>10000</v>
      </c>
      <c r="H222" s="177" t="str">
        <f>IF(' جهات'!I160&gt;0,' جهات'!I160,"")</f>
        <v/>
      </c>
      <c r="I222" s="8" t="str">
        <f>IF(' جهات'!J160&gt;0,' جهات'!J160,"")</f>
        <v/>
      </c>
      <c r="J222" s="167" t="str">
        <f t="shared" si="45"/>
        <v/>
      </c>
      <c r="K222" s="168" t="str">
        <f t="shared" si="46"/>
        <v/>
      </c>
    </row>
    <row r="223" spans="2:11" s="37" customFormat="1" ht="14.25" customHeight="1" x14ac:dyDescent="0.2">
      <c r="B223" s="347"/>
      <c r="C223" s="345"/>
      <c r="D223" s="22">
        <v>25301004</v>
      </c>
      <c r="E223" s="131" t="s">
        <v>477</v>
      </c>
      <c r="F223" s="43">
        <f>IF(' جهات'!G40&gt;0,' جهات'!G40,"")</f>
        <v>1000</v>
      </c>
      <c r="G223" s="43">
        <f>IF(' جهات'!H40&gt;0,' جهات'!H40,"")</f>
        <v>1000</v>
      </c>
      <c r="H223" s="177" t="str">
        <f>IF(' جهات'!I40&gt;0,' جهات'!I40,"")</f>
        <v/>
      </c>
      <c r="I223" s="43" t="str">
        <f>IF(' جهات'!J40&gt;0,' جهات'!J40,"")</f>
        <v/>
      </c>
      <c r="J223" s="167" t="str">
        <f t="shared" si="45"/>
        <v/>
      </c>
      <c r="K223" s="168" t="str">
        <f t="shared" si="46"/>
        <v/>
      </c>
    </row>
    <row r="224" spans="2:11" x14ac:dyDescent="0.2">
      <c r="B224" s="347"/>
      <c r="C224" s="346" t="s">
        <v>21</v>
      </c>
      <c r="D224" s="346"/>
      <c r="E224" s="346"/>
      <c r="F224" s="60">
        <f t="shared" ref="F224:I224" si="52">SUM(F220:F223)</f>
        <v>131000</v>
      </c>
      <c r="G224" s="60">
        <f t="shared" si="52"/>
        <v>41000</v>
      </c>
      <c r="H224" s="60">
        <f t="shared" si="52"/>
        <v>2356.25</v>
      </c>
      <c r="I224" s="60">
        <f t="shared" si="52"/>
        <v>0</v>
      </c>
      <c r="J224" s="167">
        <f t="shared" si="45"/>
        <v>5.7469512195121954E-2</v>
      </c>
      <c r="K224" s="168">
        <f t="shared" si="46"/>
        <v>6.5957059679767102E-5</v>
      </c>
    </row>
    <row r="225" spans="2:11" x14ac:dyDescent="0.2">
      <c r="B225" s="321" t="s">
        <v>281</v>
      </c>
      <c r="C225" s="321"/>
      <c r="D225" s="321"/>
      <c r="E225" s="321"/>
      <c r="F225" s="61">
        <f>F224</f>
        <v>131000</v>
      </c>
      <c r="G225" s="61">
        <f t="shared" ref="G225:I225" si="53">G224</f>
        <v>41000</v>
      </c>
      <c r="H225" s="61">
        <f t="shared" si="53"/>
        <v>2356.25</v>
      </c>
      <c r="I225" s="61">
        <f t="shared" si="53"/>
        <v>0</v>
      </c>
      <c r="J225" s="167">
        <f t="shared" si="45"/>
        <v>5.7469512195121954E-2</v>
      </c>
      <c r="K225" s="168">
        <f t="shared" si="46"/>
        <v>6.5957059679767102E-5</v>
      </c>
    </row>
    <row r="226" spans="2:11" x14ac:dyDescent="0.2">
      <c r="B226" s="334" t="s">
        <v>274</v>
      </c>
      <c r="C226" s="334"/>
      <c r="D226" s="334"/>
      <c r="E226" s="334"/>
      <c r="F226" s="334"/>
      <c r="G226" s="334"/>
      <c r="H226" s="334"/>
      <c r="I226" s="334"/>
      <c r="J226" s="334"/>
      <c r="K226" s="334"/>
    </row>
    <row r="227" spans="2:11" x14ac:dyDescent="0.2">
      <c r="B227" s="347">
        <v>54</v>
      </c>
      <c r="C227" s="348" t="s">
        <v>282</v>
      </c>
      <c r="D227" s="348"/>
      <c r="E227" s="348"/>
      <c r="F227" s="348"/>
      <c r="G227" s="348"/>
      <c r="H227" s="348"/>
      <c r="I227" s="348"/>
      <c r="J227" s="348"/>
      <c r="K227" s="348"/>
    </row>
    <row r="228" spans="2:11" ht="14.25" customHeight="1" x14ac:dyDescent="0.2">
      <c r="B228" s="347"/>
      <c r="C228" s="345">
        <v>1</v>
      </c>
      <c r="D228" s="22">
        <v>25401001</v>
      </c>
      <c r="E228" s="40" t="s">
        <v>237</v>
      </c>
      <c r="F228" s="8">
        <f>IF(' جهات'!G161&gt;0,' جهات'!G161,"")</f>
        <v>20000</v>
      </c>
      <c r="G228" s="8">
        <f>IF(' جهات'!H161&gt;0,' جهات'!H161,"")</f>
        <v>20000</v>
      </c>
      <c r="H228" s="177">
        <f>IF(' جهات'!I161&gt;0,' جهات'!I161,"")</f>
        <v>6750</v>
      </c>
      <c r="I228" s="8" t="str">
        <f>IF(' جهات'!J161&gt;0,' جهات'!J161,"")</f>
        <v/>
      </c>
      <c r="J228" s="167">
        <f t="shared" si="45"/>
        <v>0.33750000000000002</v>
      </c>
      <c r="K228" s="168">
        <f t="shared" si="46"/>
        <v>1.8894860597917367E-4</v>
      </c>
    </row>
    <row r="229" spans="2:11" ht="14.25" customHeight="1" x14ac:dyDescent="0.2">
      <c r="B229" s="347"/>
      <c r="C229" s="345"/>
      <c r="D229" s="22">
        <v>25401002</v>
      </c>
      <c r="E229" s="40" t="s">
        <v>95</v>
      </c>
      <c r="F229" s="8">
        <f>IF(' جهات'!G162&gt;0,' جهات'!G162,"")</f>
        <v>1000</v>
      </c>
      <c r="G229" s="8">
        <f>IF(' جهات'!H162&gt;0,' جهات'!H162,"")</f>
        <v>1000</v>
      </c>
      <c r="H229" s="177" t="str">
        <f>IF(' جهات'!I162&gt;0,' جهات'!I162,"")</f>
        <v/>
      </c>
      <c r="I229" s="8" t="str">
        <f>IF(' جهات'!J162&gt;0,' جهات'!J162,"")</f>
        <v/>
      </c>
      <c r="J229" s="167" t="str">
        <f t="shared" si="45"/>
        <v/>
      </c>
      <c r="K229" s="168" t="str">
        <f t="shared" si="46"/>
        <v/>
      </c>
    </row>
    <row r="230" spans="2:11" ht="14.25" customHeight="1" x14ac:dyDescent="0.2">
      <c r="B230" s="347"/>
      <c r="C230" s="345"/>
      <c r="D230" s="22">
        <v>25401003</v>
      </c>
      <c r="E230" s="40" t="s">
        <v>96</v>
      </c>
      <c r="F230" s="8">
        <f>IF(' جهات'!G163&gt;0,' جهات'!G163,"")</f>
        <v>1000</v>
      </c>
      <c r="G230" s="8">
        <f>IF(' جهات'!H163&gt;0,' جهات'!H163,"")</f>
        <v>1000</v>
      </c>
      <c r="H230" s="177" t="str">
        <f>IF(' جهات'!I163&gt;0,' جهات'!I163,"")</f>
        <v/>
      </c>
      <c r="I230" s="8" t="str">
        <f>IF(' جهات'!J163&gt;0,' جهات'!J163,"")</f>
        <v/>
      </c>
      <c r="J230" s="167" t="str">
        <f t="shared" si="45"/>
        <v/>
      </c>
      <c r="K230" s="168" t="str">
        <f t="shared" si="46"/>
        <v/>
      </c>
    </row>
    <row r="231" spans="2:11" ht="14.25" customHeight="1" x14ac:dyDescent="0.2">
      <c r="B231" s="347"/>
      <c r="C231" s="345"/>
      <c r="D231" s="22">
        <v>25401005</v>
      </c>
      <c r="E231" s="40" t="s">
        <v>98</v>
      </c>
      <c r="F231" s="8">
        <f>IF(' جهات'!G164&gt;0,' جهات'!G164,"")</f>
        <v>25000</v>
      </c>
      <c r="G231" s="8">
        <f>IF(' جهات'!H164&gt;0,' جهات'!H164,"")</f>
        <v>25000</v>
      </c>
      <c r="H231" s="177">
        <f>IF(' جهات'!I164&gt;0,' جهات'!I164,"")</f>
        <v>18495</v>
      </c>
      <c r="I231" s="8" t="str">
        <f>IF(' جهات'!J164&gt;0,' جهات'!J164,"")</f>
        <v/>
      </c>
      <c r="J231" s="167">
        <f t="shared" si="45"/>
        <v>0.73980000000000001</v>
      </c>
      <c r="K231" s="168">
        <f t="shared" si="46"/>
        <v>5.1771918038293584E-4</v>
      </c>
    </row>
    <row r="232" spans="2:11" ht="14.25" customHeight="1" x14ac:dyDescent="0.2">
      <c r="B232" s="347"/>
      <c r="C232" s="345"/>
      <c r="D232" s="22">
        <v>25401007</v>
      </c>
      <c r="E232" s="40" t="s">
        <v>99</v>
      </c>
      <c r="F232" s="8">
        <f>IF(' جهات'!G16&gt;0,' جهات'!G16,"")</f>
        <v>500</v>
      </c>
      <c r="G232" s="8">
        <f>IF(' جهات'!H16&gt;0,' جهات'!H16,"")</f>
        <v>500</v>
      </c>
      <c r="H232" s="177" t="str">
        <f>IF(' جهات'!I16&gt;0,' جهات'!I16,"")</f>
        <v/>
      </c>
      <c r="I232" s="8" t="str">
        <f>IF(' جهات'!J16&gt;0,' جهات'!J16,"")</f>
        <v/>
      </c>
      <c r="J232" s="167" t="str">
        <f t="shared" si="45"/>
        <v/>
      </c>
      <c r="K232" s="168" t="str">
        <f t="shared" si="46"/>
        <v/>
      </c>
    </row>
    <row r="233" spans="2:11" x14ac:dyDescent="0.2">
      <c r="B233" s="347"/>
      <c r="C233" s="346" t="s">
        <v>21</v>
      </c>
      <c r="D233" s="346"/>
      <c r="E233" s="346"/>
      <c r="F233" s="60">
        <f>SUM(F228:F232)</f>
        <v>47500</v>
      </c>
      <c r="G233" s="60">
        <f>SUM(G228:G232)</f>
        <v>47500</v>
      </c>
      <c r="H233" s="60">
        <f>SUM(H228:H232)</f>
        <v>25245</v>
      </c>
      <c r="I233" s="60">
        <f t="shared" ref="I233" si="54">SUM(I228:I232)</f>
        <v>0</v>
      </c>
      <c r="J233" s="167">
        <f t="shared" si="45"/>
        <v>0.53147368421052632</v>
      </c>
      <c r="K233" s="168">
        <f t="shared" si="46"/>
        <v>7.0666778636210956E-4</v>
      </c>
    </row>
    <row r="234" spans="2:11" x14ac:dyDescent="0.2">
      <c r="B234" s="321" t="s">
        <v>283</v>
      </c>
      <c r="C234" s="321"/>
      <c r="D234" s="321"/>
      <c r="E234" s="321"/>
      <c r="F234" s="61">
        <f>F233</f>
        <v>47500</v>
      </c>
      <c r="G234" s="61">
        <f t="shared" ref="G234:I234" si="55">G233</f>
        <v>47500</v>
      </c>
      <c r="H234" s="61">
        <f t="shared" si="55"/>
        <v>25245</v>
      </c>
      <c r="I234" s="61">
        <f t="shared" si="55"/>
        <v>0</v>
      </c>
      <c r="J234" s="167">
        <f t="shared" si="45"/>
        <v>0.53147368421052632</v>
      </c>
      <c r="K234" s="168">
        <f t="shared" si="46"/>
        <v>7.0666778636210956E-4</v>
      </c>
    </row>
    <row r="235" spans="2:11" x14ac:dyDescent="0.2">
      <c r="B235" s="334" t="s">
        <v>284</v>
      </c>
      <c r="C235" s="334"/>
      <c r="D235" s="334"/>
      <c r="E235" s="334"/>
      <c r="F235" s="334"/>
      <c r="G235" s="334"/>
      <c r="H235" s="334"/>
      <c r="I235" s="334"/>
      <c r="J235" s="334"/>
      <c r="K235" s="334"/>
    </row>
    <row r="236" spans="2:11" x14ac:dyDescent="0.2">
      <c r="B236" s="347">
        <v>55</v>
      </c>
      <c r="C236" s="348" t="s">
        <v>285</v>
      </c>
      <c r="D236" s="348"/>
      <c r="E236" s="348"/>
      <c r="F236" s="348"/>
      <c r="G236" s="348"/>
      <c r="H236" s="348"/>
      <c r="I236" s="348"/>
      <c r="J236" s="348"/>
      <c r="K236" s="348"/>
    </row>
    <row r="237" spans="2:11" ht="14.25" customHeight="1" x14ac:dyDescent="0.2">
      <c r="B237" s="347"/>
      <c r="C237" s="171">
        <v>1</v>
      </c>
      <c r="D237" s="22">
        <v>25501001</v>
      </c>
      <c r="E237" s="40" t="s">
        <v>420</v>
      </c>
      <c r="F237" s="8">
        <f>IF(' جهات'!G433&gt;0,' جهات'!G433,"")</f>
        <v>620000</v>
      </c>
      <c r="G237" s="8">
        <f>IF(' جهات'!H433&gt;0,' جهات'!H433,"")</f>
        <v>511000</v>
      </c>
      <c r="H237" s="177">
        <f>IF(' جهات'!I433&gt;0,' جهات'!I433,"")</f>
        <v>60778.512999999999</v>
      </c>
      <c r="I237" s="8">
        <f>IF(' جهات'!J433&gt;0,' جهات'!J433,"")</f>
        <v>423295.62400000001</v>
      </c>
      <c r="J237" s="167">
        <f t="shared" si="45"/>
        <v>0.11894033855185909</v>
      </c>
      <c r="K237" s="168">
        <f t="shared" si="46"/>
        <v>1.7013356007166051E-3</v>
      </c>
    </row>
    <row r="238" spans="2:11" x14ac:dyDescent="0.2">
      <c r="B238" s="347"/>
      <c r="C238" s="346" t="s">
        <v>21</v>
      </c>
      <c r="D238" s="346"/>
      <c r="E238" s="346"/>
      <c r="F238" s="60">
        <f>SUM(F237:F237)</f>
        <v>620000</v>
      </c>
      <c r="G238" s="60">
        <f t="shared" ref="G238:I238" si="56">SUM(G237:G237)</f>
        <v>511000</v>
      </c>
      <c r="H238" s="60">
        <f t="shared" si="56"/>
        <v>60778.512999999999</v>
      </c>
      <c r="I238" s="60">
        <f t="shared" si="56"/>
        <v>423295.62400000001</v>
      </c>
      <c r="J238" s="167">
        <f t="shared" si="45"/>
        <v>0.11894033855185909</v>
      </c>
      <c r="K238" s="168">
        <f t="shared" si="46"/>
        <v>1.7013356007166051E-3</v>
      </c>
    </row>
    <row r="239" spans="2:11" x14ac:dyDescent="0.2">
      <c r="B239" s="321" t="s">
        <v>286</v>
      </c>
      <c r="C239" s="321"/>
      <c r="D239" s="321"/>
      <c r="E239" s="321"/>
      <c r="F239" s="61">
        <f>F238</f>
        <v>620000</v>
      </c>
      <c r="G239" s="61">
        <f t="shared" ref="G239:I239" si="57">G238</f>
        <v>511000</v>
      </c>
      <c r="H239" s="61">
        <f t="shared" si="57"/>
        <v>60778.512999999999</v>
      </c>
      <c r="I239" s="61">
        <f t="shared" si="57"/>
        <v>423295.62400000001</v>
      </c>
      <c r="J239" s="167">
        <f t="shared" si="45"/>
        <v>0.11894033855185909</v>
      </c>
      <c r="K239" s="168">
        <f t="shared" si="46"/>
        <v>1.7013356007166051E-3</v>
      </c>
    </row>
    <row r="240" spans="2:11" x14ac:dyDescent="0.2">
      <c r="B240" s="334" t="s">
        <v>253</v>
      </c>
      <c r="C240" s="334"/>
      <c r="D240" s="334"/>
      <c r="E240" s="334"/>
      <c r="F240" s="334"/>
      <c r="G240" s="334"/>
      <c r="H240" s="334"/>
      <c r="I240" s="334"/>
      <c r="J240" s="334"/>
      <c r="K240" s="334"/>
    </row>
    <row r="241" spans="2:11" x14ac:dyDescent="0.2">
      <c r="B241" s="347">
        <v>56</v>
      </c>
      <c r="C241" s="348" t="s">
        <v>135</v>
      </c>
      <c r="D241" s="348"/>
      <c r="E241" s="348"/>
      <c r="F241" s="348"/>
      <c r="G241" s="348"/>
      <c r="H241" s="348"/>
      <c r="I241" s="348"/>
      <c r="J241" s="348"/>
      <c r="K241" s="348"/>
    </row>
    <row r="242" spans="2:11" x14ac:dyDescent="0.2">
      <c r="B242" s="347"/>
      <c r="C242" s="345">
        <v>1</v>
      </c>
      <c r="D242" s="22">
        <v>25601001</v>
      </c>
      <c r="E242" s="40" t="s">
        <v>453</v>
      </c>
      <c r="F242" s="8">
        <f>IF(' جهات'!G58+' جهات'!G66+' جهات'!G75+' جهات'!G92+' جهات'!G123+' جهات'!G107+' جهات'!G233&gt;0,' جهات'!G58+' جهات'!G66+' جهات'!G75+' جهات'!G92+' جهات'!G123+' جهات'!G107+' جهات'!G233,"")</f>
        <v>240000</v>
      </c>
      <c r="G242" s="8">
        <f>IF(' جهات'!H58+' جهات'!H66+' جهات'!H75+' جهات'!H92+' جهات'!H123+' جهات'!H107+' جهات'!H233&gt;0,' جهات'!H58+' جهات'!H66+' جهات'!H75+' جهات'!H92+' جهات'!H123+' جهات'!H107+' جهات'!H233,"")</f>
        <v>240000</v>
      </c>
      <c r="H242" s="177">
        <f>IF(' جهات'!I58+' جهات'!I66+' جهات'!I75+' جهات'!I92+' جهات'!I123+' جهات'!I107+' جهات'!I233&gt;0,' جهات'!I58+' جهات'!I66+' جهات'!I75+' جهات'!I92+' جهات'!I123+' جهات'!I107+' جهات'!I233,"")</f>
        <v>4486.6549999999997</v>
      </c>
      <c r="I242" s="8">
        <f>IF(' جهات'!J58+' جهات'!J66+' جهات'!J75+' جهات'!J92+' جهات'!J123+' جهات'!J107+' جهات'!J233&gt;0,' جهات'!J58+' جهات'!J66+' جهات'!J75+' جهات'!J92+' جهات'!J123+' جهات'!J107+' جهات'!J233,"")</f>
        <v>37513.345000000001</v>
      </c>
      <c r="J242" s="167">
        <f t="shared" si="45"/>
        <v>1.8694395833333332E-2</v>
      </c>
      <c r="K242" s="168">
        <f t="shared" si="46"/>
        <v>1.2559217892733175E-4</v>
      </c>
    </row>
    <row r="243" spans="2:11" s="37" customFormat="1" ht="14.25" customHeight="1" x14ac:dyDescent="0.2">
      <c r="B243" s="347"/>
      <c r="C243" s="345"/>
      <c r="D243" s="22">
        <v>25601004</v>
      </c>
      <c r="E243" s="40" t="s">
        <v>437</v>
      </c>
      <c r="F243" s="8">
        <f>IF(' جهات'!G267&gt;0,' جهات'!G267,"")</f>
        <v>4000</v>
      </c>
      <c r="G243" s="8">
        <f>IF(' جهات'!H267&gt;0,' جهات'!H267,"")</f>
        <v>4000</v>
      </c>
      <c r="H243" s="177" t="str">
        <f>IF(' جهات'!I267&gt;0,' جهات'!I267,"")</f>
        <v/>
      </c>
      <c r="I243" s="8" t="str">
        <f>IF(' جهات'!J267&gt;0,' جهات'!J267,"")</f>
        <v/>
      </c>
      <c r="J243" s="167" t="str">
        <f t="shared" si="45"/>
        <v/>
      </c>
      <c r="K243" s="168" t="str">
        <f t="shared" si="46"/>
        <v/>
      </c>
    </row>
    <row r="244" spans="2:11" x14ac:dyDescent="0.2">
      <c r="B244" s="347"/>
      <c r="C244" s="346" t="s">
        <v>21</v>
      </c>
      <c r="D244" s="346"/>
      <c r="E244" s="346"/>
      <c r="F244" s="60">
        <f>SUM(F242:F243)</f>
        <v>244000</v>
      </c>
      <c r="G244" s="60">
        <f>SUM(G242:G243)</f>
        <v>244000</v>
      </c>
      <c r="H244" s="60">
        <f>SUM(H242:H243)</f>
        <v>4486.6549999999997</v>
      </c>
      <c r="I244" s="60">
        <f>SUM(I242:I243)</f>
        <v>37513.345000000001</v>
      </c>
      <c r="J244" s="167">
        <f t="shared" si="45"/>
        <v>1.838793032786885E-2</v>
      </c>
      <c r="K244" s="168">
        <f t="shared" si="46"/>
        <v>1.2559217892733175E-4</v>
      </c>
    </row>
    <row r="245" spans="2:11" x14ac:dyDescent="0.2">
      <c r="B245" s="347"/>
      <c r="C245" s="348" t="s">
        <v>138</v>
      </c>
      <c r="D245" s="348"/>
      <c r="E245" s="348"/>
      <c r="F245" s="348"/>
      <c r="G245" s="348"/>
      <c r="H245" s="348"/>
      <c r="I245" s="348"/>
      <c r="J245" s="348"/>
      <c r="K245" s="348"/>
    </row>
    <row r="246" spans="2:11" ht="14.25" customHeight="1" x14ac:dyDescent="0.2">
      <c r="B246" s="347"/>
      <c r="C246" s="171">
        <v>2</v>
      </c>
      <c r="D246" s="23">
        <v>25602001</v>
      </c>
      <c r="E246" s="79" t="s">
        <v>138</v>
      </c>
      <c r="F246" s="8">
        <f>IF(' جهات'!G67+' جهات'!G76+' جهات'!G93+' جهات'!G124+' جهات'!G108+' جهات'!G234&gt;0,' جهات'!G67+' جهات'!G76+' جهات'!G93+' جهات'!G124+' جهات'!G108+' جهات'!G234,"")</f>
        <v>124000</v>
      </c>
      <c r="G246" s="8">
        <f>IF(' جهات'!H67+' جهات'!H76+' جهات'!H93+' جهات'!H124+' جهات'!H108+' جهات'!H234&gt;0,' جهات'!H67+' جهات'!H76+' جهات'!H93+' جهات'!H124+' جهات'!H108+' جهات'!H234,"")</f>
        <v>124000</v>
      </c>
      <c r="H246" s="177">
        <f>IF(' جهات'!I67+' جهات'!I76+' جهات'!I93+' جهات'!I124+' جهات'!I108+' جهات'!I234&gt;0,' جهات'!I67+' جهات'!I76+' جهات'!I93+' جهات'!I124+' جهات'!I108+' جهات'!I234,"")</f>
        <v>16878.309999999998</v>
      </c>
      <c r="I246" s="8">
        <f>IF(' جهات'!J67+' جهات'!J76+' جهات'!J93+' جهات'!J124+' جهات'!J108+' جهات'!J234&gt;0,' جهات'!J67+' جهات'!J76+' جهات'!J93+' جهات'!J124+' جهات'!J108+' جهات'!J234,"")</f>
        <v>10343.120000000001</v>
      </c>
      <c r="J246" s="167">
        <f t="shared" si="45"/>
        <v>0.13611540322580643</v>
      </c>
      <c r="K246" s="168">
        <f t="shared" si="46"/>
        <v>4.7246416974582907E-4</v>
      </c>
    </row>
    <row r="247" spans="2:11" x14ac:dyDescent="0.2">
      <c r="B247" s="347"/>
      <c r="C247" s="346" t="s">
        <v>21</v>
      </c>
      <c r="D247" s="346"/>
      <c r="E247" s="346"/>
      <c r="F247" s="60">
        <f>SUM(F246)</f>
        <v>124000</v>
      </c>
      <c r="G247" s="60">
        <f t="shared" ref="G247:I247" si="58">SUM(G246)</f>
        <v>124000</v>
      </c>
      <c r="H247" s="60">
        <f t="shared" si="58"/>
        <v>16878.309999999998</v>
      </c>
      <c r="I247" s="60">
        <f t="shared" si="58"/>
        <v>10343.120000000001</v>
      </c>
      <c r="J247" s="167">
        <f t="shared" si="45"/>
        <v>0.13611540322580643</v>
      </c>
      <c r="K247" s="168">
        <f t="shared" si="46"/>
        <v>4.7246416974582907E-4</v>
      </c>
    </row>
    <row r="248" spans="2:11" x14ac:dyDescent="0.2">
      <c r="B248" s="347"/>
      <c r="C248" s="348" t="s">
        <v>423</v>
      </c>
      <c r="D248" s="348"/>
      <c r="E248" s="348"/>
      <c r="F248" s="348"/>
      <c r="G248" s="348"/>
      <c r="H248" s="348"/>
      <c r="I248" s="348"/>
      <c r="J248" s="348"/>
      <c r="K248" s="348"/>
    </row>
    <row r="249" spans="2:11" x14ac:dyDescent="0.2">
      <c r="B249" s="347"/>
      <c r="C249" s="171">
        <v>3</v>
      </c>
      <c r="D249" s="23">
        <v>25603001</v>
      </c>
      <c r="E249" s="79" t="s">
        <v>456</v>
      </c>
      <c r="F249" s="8">
        <f>IF(' جهات'!G94+' جهات'!G125+' جهات'!G109+' جهات'!G208+' جهات'!G235&gt;0,' جهات'!G94+' جهات'!G125+' جهات'!G109+' جهات'!G208+' جهات'!G235,"")</f>
        <v>77000</v>
      </c>
      <c r="G249" s="8">
        <f>IF(' جهات'!H94+' جهات'!H125+' جهات'!H109+' جهات'!H208+' جهات'!H235&gt;0,' جهات'!H94+' جهات'!H125+' جهات'!H109+' جهات'!H208+' جهات'!H235,"")</f>
        <v>77000</v>
      </c>
      <c r="H249" s="177">
        <f>IF(' جهات'!I94+' جهات'!I125+' جهات'!I109+' جهات'!I208+' جهات'!I235&gt;0,' جهات'!I94+' جهات'!I125+' جهات'!I109+' جهات'!I208+' جهات'!I235,"")</f>
        <v>3999.6790000000001</v>
      </c>
      <c r="I249" s="8">
        <f>IF(' جهات'!J94+' جهات'!J125+' جهات'!J109+' جهات'!J208+' جهات'!J235&gt;0,' جهات'!J94+' جهات'!J125+' جهات'!J109+' جهات'!J208+' جهات'!J235,"")</f>
        <v>12645</v>
      </c>
      <c r="J249" s="167">
        <f t="shared" si="45"/>
        <v>5.1943883116883117E-2</v>
      </c>
      <c r="K249" s="168">
        <f t="shared" si="46"/>
        <v>1.1196055872802598E-4</v>
      </c>
    </row>
    <row r="250" spans="2:11" x14ac:dyDescent="0.2">
      <c r="B250" s="347"/>
      <c r="C250" s="346" t="s">
        <v>21</v>
      </c>
      <c r="D250" s="346"/>
      <c r="E250" s="346"/>
      <c r="F250" s="60">
        <f>SUM(F249)</f>
        <v>77000</v>
      </c>
      <c r="G250" s="60">
        <f t="shared" ref="G250:I250" si="59">SUM(G249)</f>
        <v>77000</v>
      </c>
      <c r="H250" s="60">
        <f t="shared" si="59"/>
        <v>3999.6790000000001</v>
      </c>
      <c r="I250" s="60">
        <f t="shared" si="59"/>
        <v>12645</v>
      </c>
      <c r="J250" s="167">
        <f t="shared" si="45"/>
        <v>5.1943883116883117E-2</v>
      </c>
      <c r="K250" s="168">
        <f t="shared" si="46"/>
        <v>1.1196055872802598E-4</v>
      </c>
    </row>
    <row r="251" spans="2:11" x14ac:dyDescent="0.2">
      <c r="B251" s="321" t="s">
        <v>136</v>
      </c>
      <c r="C251" s="321"/>
      <c r="D251" s="321"/>
      <c r="E251" s="321"/>
      <c r="F251" s="61">
        <f>F244+F247+F250</f>
        <v>445000</v>
      </c>
      <c r="G251" s="61">
        <f t="shared" ref="G251:I251" si="60">G244+G247+G250</f>
        <v>445000</v>
      </c>
      <c r="H251" s="61">
        <f t="shared" si="60"/>
        <v>25364.643999999997</v>
      </c>
      <c r="I251" s="61">
        <f t="shared" si="60"/>
        <v>60501.465000000004</v>
      </c>
      <c r="J251" s="167">
        <f t="shared" si="45"/>
        <v>5.6999199999999993E-2</v>
      </c>
      <c r="K251" s="168">
        <f t="shared" si="46"/>
        <v>7.100169074011868E-4</v>
      </c>
    </row>
    <row r="252" spans="2:11" x14ac:dyDescent="0.2">
      <c r="B252" s="334" t="s">
        <v>448</v>
      </c>
      <c r="C252" s="334"/>
      <c r="D252" s="334"/>
      <c r="E252" s="334"/>
      <c r="F252" s="334"/>
      <c r="G252" s="334"/>
      <c r="H252" s="334"/>
      <c r="I252" s="334"/>
      <c r="J252" s="334"/>
      <c r="K252" s="334"/>
    </row>
    <row r="253" spans="2:11" x14ac:dyDescent="0.2">
      <c r="B253" s="347">
        <v>57</v>
      </c>
      <c r="C253" s="348" t="s">
        <v>446</v>
      </c>
      <c r="D253" s="348"/>
      <c r="E253" s="348"/>
      <c r="F253" s="348"/>
      <c r="G253" s="348"/>
      <c r="H253" s="348"/>
      <c r="I253" s="348"/>
      <c r="J253" s="348"/>
      <c r="K253" s="348"/>
    </row>
    <row r="254" spans="2:11" ht="14.25" customHeight="1" x14ac:dyDescent="0.2">
      <c r="B254" s="347"/>
      <c r="C254" s="345">
        <v>1</v>
      </c>
      <c r="D254" s="22">
        <v>25701001</v>
      </c>
      <c r="E254" s="40" t="s">
        <v>470</v>
      </c>
      <c r="F254" s="8">
        <f>IF(' جهات'!G281&gt;0,' جهات'!G281,"")</f>
        <v>30000</v>
      </c>
      <c r="G254" s="8">
        <f>IF(' جهات'!H281&gt;0,' جهات'!H281,"")</f>
        <v>30000</v>
      </c>
      <c r="H254" s="177">
        <f>IF(' جهات'!I281&gt;0,' جهات'!I281,"")</f>
        <v>5249.5649999999996</v>
      </c>
      <c r="I254" s="8">
        <f>IF(' جهات'!J281&gt;0,' جهات'!J281,"")</f>
        <v>0.435</v>
      </c>
      <c r="J254" s="167">
        <f t="shared" si="45"/>
        <v>0.17498549999999999</v>
      </c>
      <c r="K254" s="168">
        <f t="shared" si="46"/>
        <v>1.4694785018474972E-4</v>
      </c>
    </row>
    <row r="255" spans="2:11" ht="14.25" customHeight="1" x14ac:dyDescent="0.2">
      <c r="B255" s="347"/>
      <c r="C255" s="345"/>
      <c r="D255" s="22">
        <v>25701002</v>
      </c>
      <c r="E255" s="40" t="s">
        <v>100</v>
      </c>
      <c r="F255" s="8">
        <f>IF(' جهات'!G282&gt;0,' جهات'!G282,"")</f>
        <v>5000</v>
      </c>
      <c r="G255" s="8">
        <f>IF(' جهات'!H282&gt;0,' جهات'!H282,"")</f>
        <v>5000</v>
      </c>
      <c r="H255" s="177" t="str">
        <f>IF(' جهات'!I282&gt;0,' جهات'!I282,"")</f>
        <v/>
      </c>
      <c r="I255" s="8" t="str">
        <f>IF(' جهات'!J282&gt;0,' جهات'!J282,"")</f>
        <v/>
      </c>
      <c r="J255" s="167" t="str">
        <f t="shared" si="45"/>
        <v/>
      </c>
      <c r="K255" s="168" t="str">
        <f t="shared" si="46"/>
        <v/>
      </c>
    </row>
    <row r="256" spans="2:11" x14ac:dyDescent="0.2">
      <c r="B256" s="347"/>
      <c r="C256" s="346" t="s">
        <v>21</v>
      </c>
      <c r="D256" s="346"/>
      <c r="E256" s="346"/>
      <c r="F256" s="60">
        <f>SUM(F254:F255)</f>
        <v>35000</v>
      </c>
      <c r="G256" s="60">
        <f>SUM(G254:G255)</f>
        <v>35000</v>
      </c>
      <c r="H256" s="60">
        <f>SUM(H254:H255)</f>
        <v>5249.5649999999996</v>
      </c>
      <c r="I256" s="60">
        <f>SUM(I254:I255)</f>
        <v>0.435</v>
      </c>
      <c r="J256" s="167">
        <f t="shared" si="45"/>
        <v>0.14998757142857141</v>
      </c>
      <c r="K256" s="168">
        <f t="shared" si="46"/>
        <v>1.4694785018474972E-4</v>
      </c>
    </row>
    <row r="257" spans="2:11" x14ac:dyDescent="0.2">
      <c r="B257" s="321" t="s">
        <v>447</v>
      </c>
      <c r="C257" s="321"/>
      <c r="D257" s="321"/>
      <c r="E257" s="321"/>
      <c r="F257" s="61">
        <f>F256</f>
        <v>35000</v>
      </c>
      <c r="G257" s="61">
        <f t="shared" ref="G257:I257" si="61">G256</f>
        <v>35000</v>
      </c>
      <c r="H257" s="61">
        <f t="shared" si="61"/>
        <v>5249.5649999999996</v>
      </c>
      <c r="I257" s="61">
        <f t="shared" si="61"/>
        <v>0.435</v>
      </c>
      <c r="J257" s="167">
        <f t="shared" si="45"/>
        <v>0.14998757142857141</v>
      </c>
      <c r="K257" s="168">
        <f t="shared" si="46"/>
        <v>1.4694785018474972E-4</v>
      </c>
    </row>
    <row r="258" spans="2:11" x14ac:dyDescent="0.2">
      <c r="B258" s="339" t="s">
        <v>137</v>
      </c>
      <c r="C258" s="339"/>
      <c r="D258" s="339"/>
      <c r="E258" s="339"/>
      <c r="F258" s="54">
        <f>F211+F217+F225+F234+F239+F251+F257</f>
        <v>2128500</v>
      </c>
      <c r="G258" s="54">
        <f>G211+G217+G225+G234+G239+G251+G257</f>
        <v>2128500</v>
      </c>
      <c r="H258" s="54">
        <f>H211+H217+H225+H234+H239+H251+H257</f>
        <v>1105651.8029999998</v>
      </c>
      <c r="I258" s="54">
        <f>I211+I217+I225+I234+I239+I251+I257</f>
        <v>489397.52400000003</v>
      </c>
      <c r="J258" s="167">
        <f t="shared" si="45"/>
        <v>0.51945116420014081</v>
      </c>
      <c r="K258" s="168">
        <f t="shared" si="46"/>
        <v>3.0949832129660727E-2</v>
      </c>
    </row>
    <row r="259" spans="2:11" x14ac:dyDescent="0.2">
      <c r="B259" s="309" t="s">
        <v>254</v>
      </c>
      <c r="C259" s="309"/>
      <c r="D259" s="309"/>
      <c r="E259" s="309"/>
      <c r="F259" s="309"/>
      <c r="G259" s="309"/>
      <c r="H259" s="309"/>
      <c r="I259" s="309"/>
      <c r="J259" s="309"/>
      <c r="K259" s="309"/>
    </row>
    <row r="260" spans="2:11" x14ac:dyDescent="0.2">
      <c r="B260" s="334" t="s">
        <v>290</v>
      </c>
      <c r="C260" s="334"/>
      <c r="D260" s="334"/>
      <c r="E260" s="334"/>
      <c r="F260" s="334"/>
      <c r="G260" s="334"/>
      <c r="H260" s="334"/>
      <c r="I260" s="334"/>
      <c r="J260" s="334"/>
      <c r="K260" s="334"/>
    </row>
    <row r="261" spans="2:11" x14ac:dyDescent="0.2">
      <c r="B261" s="347">
        <v>59</v>
      </c>
      <c r="C261" s="348" t="s">
        <v>139</v>
      </c>
      <c r="D261" s="348"/>
      <c r="E261" s="348"/>
      <c r="F261" s="348"/>
      <c r="G261" s="348"/>
      <c r="H261" s="348"/>
      <c r="I261" s="348"/>
      <c r="J261" s="348"/>
      <c r="K261" s="348"/>
    </row>
    <row r="262" spans="2:11" ht="14.25" customHeight="1" x14ac:dyDescent="0.2">
      <c r="B262" s="347"/>
      <c r="C262" s="171">
        <v>1</v>
      </c>
      <c r="D262" s="22">
        <v>25901001</v>
      </c>
      <c r="E262" s="40" t="s">
        <v>101</v>
      </c>
      <c r="F262" s="8">
        <f>IF(' جهات'!G253&gt;0,' جهات'!G253,"")</f>
        <v>300000</v>
      </c>
      <c r="G262" s="8">
        <f>IF(' جهات'!H253&gt;0,' جهات'!H253,"")</f>
        <v>310000</v>
      </c>
      <c r="H262" s="177">
        <f>IF(' جهات'!I253&gt;0,' جهات'!I253,"")</f>
        <v>309999.35200000001</v>
      </c>
      <c r="I262" s="8" t="str">
        <f>IF(' جهات'!J253&gt;0,' جهات'!J253,"")</f>
        <v/>
      </c>
      <c r="J262" s="167">
        <f t="shared" si="45"/>
        <v>0.99999790967741942</v>
      </c>
      <c r="K262" s="168">
        <f t="shared" si="46"/>
        <v>8.6776215429403211E-3</v>
      </c>
    </row>
    <row r="263" spans="2:11" x14ac:dyDescent="0.2">
      <c r="B263" s="347"/>
      <c r="C263" s="346" t="s">
        <v>21</v>
      </c>
      <c r="D263" s="346"/>
      <c r="E263" s="346"/>
      <c r="F263" s="60">
        <f>SUM(F262)</f>
        <v>300000</v>
      </c>
      <c r="G263" s="60">
        <f t="shared" ref="G263:I263" si="62">SUM(G262)</f>
        <v>310000</v>
      </c>
      <c r="H263" s="60">
        <f t="shared" si="62"/>
        <v>309999.35200000001</v>
      </c>
      <c r="I263" s="60">
        <f t="shared" si="62"/>
        <v>0</v>
      </c>
      <c r="J263" s="167">
        <f t="shared" si="45"/>
        <v>0.99999790967741942</v>
      </c>
      <c r="K263" s="168">
        <f t="shared" si="46"/>
        <v>8.6776215429403211E-3</v>
      </c>
    </row>
    <row r="264" spans="2:11" x14ac:dyDescent="0.2">
      <c r="B264" s="347"/>
      <c r="C264" s="348" t="s">
        <v>784</v>
      </c>
      <c r="D264" s="348"/>
      <c r="E264" s="348"/>
      <c r="F264" s="348"/>
      <c r="G264" s="348"/>
      <c r="H264" s="348"/>
      <c r="I264" s="348"/>
      <c r="J264" s="348"/>
      <c r="K264" s="348"/>
    </row>
    <row r="265" spans="2:11" x14ac:dyDescent="0.2">
      <c r="B265" s="347"/>
      <c r="C265" s="171">
        <v>2</v>
      </c>
      <c r="D265" s="23">
        <v>25902001</v>
      </c>
      <c r="E265" s="79" t="s">
        <v>800</v>
      </c>
      <c r="F265" s="8">
        <f>IF(' جهات'!G254&gt;0,' جهات'!G254,"")</f>
        <v>10000</v>
      </c>
      <c r="G265" s="8" t="str">
        <f>IF(' جهات'!H254&gt;0,' جهات'!H254,"")</f>
        <v/>
      </c>
      <c r="H265" s="177" t="str">
        <f>IF(' جهات'!I254&gt;0,' جهات'!I254,"")</f>
        <v/>
      </c>
      <c r="I265" s="8" t="str">
        <f>IF(' جهات'!J254&gt;0,' جهات'!J254,"")</f>
        <v/>
      </c>
      <c r="J265" s="167" t="str">
        <f t="shared" ref="J265:J327" si="63">IFERROR(H265/G265,"")</f>
        <v/>
      </c>
      <c r="K265" s="168" t="str">
        <f t="shared" ref="K265:K327" si="64">IFERROR(H265/$G$351,"")</f>
        <v/>
      </c>
    </row>
    <row r="266" spans="2:11" x14ac:dyDescent="0.2">
      <c r="B266" s="347"/>
      <c r="C266" s="346" t="s">
        <v>21</v>
      </c>
      <c r="D266" s="346"/>
      <c r="E266" s="346"/>
      <c r="F266" s="60">
        <f>SUM(F265:F265)</f>
        <v>10000</v>
      </c>
      <c r="G266" s="60">
        <f>SUM(G265:G265)</f>
        <v>0</v>
      </c>
      <c r="H266" s="60">
        <f>SUM(H265:H265)</f>
        <v>0</v>
      </c>
      <c r="I266" s="60">
        <f>SUM(I265:I265)</f>
        <v>0</v>
      </c>
      <c r="J266" s="167" t="str">
        <f t="shared" si="63"/>
        <v/>
      </c>
      <c r="K266" s="168">
        <f t="shared" si="64"/>
        <v>0</v>
      </c>
    </row>
    <row r="267" spans="2:11" x14ac:dyDescent="0.2">
      <c r="B267" s="321" t="s">
        <v>291</v>
      </c>
      <c r="C267" s="321"/>
      <c r="D267" s="321"/>
      <c r="E267" s="321"/>
      <c r="F267" s="61">
        <f>F263+F266</f>
        <v>310000</v>
      </c>
      <c r="G267" s="61">
        <f>G263+G266</f>
        <v>310000</v>
      </c>
      <c r="H267" s="61">
        <f>H263+H266</f>
        <v>309999.35200000001</v>
      </c>
      <c r="I267" s="61">
        <f>I263+I266</f>
        <v>0</v>
      </c>
      <c r="J267" s="167">
        <f t="shared" si="63"/>
        <v>0.99999790967741942</v>
      </c>
      <c r="K267" s="168">
        <f t="shared" si="64"/>
        <v>8.6776215429403211E-3</v>
      </c>
    </row>
    <row r="268" spans="2:11" x14ac:dyDescent="0.2">
      <c r="B268" s="339" t="s">
        <v>292</v>
      </c>
      <c r="C268" s="339"/>
      <c r="D268" s="339"/>
      <c r="E268" s="339"/>
      <c r="F268" s="54">
        <f>SUM(F267)</f>
        <v>310000</v>
      </c>
      <c r="G268" s="54">
        <f t="shared" ref="G268:I268" si="65">SUM(G267)</f>
        <v>310000</v>
      </c>
      <c r="H268" s="54">
        <f t="shared" si="65"/>
        <v>309999.35200000001</v>
      </c>
      <c r="I268" s="54">
        <f t="shared" si="65"/>
        <v>0</v>
      </c>
      <c r="J268" s="167">
        <f t="shared" si="63"/>
        <v>0.99999790967741942</v>
      </c>
      <c r="K268" s="168">
        <f t="shared" si="64"/>
        <v>8.6776215429403211E-3</v>
      </c>
    </row>
    <row r="269" spans="2:11" x14ac:dyDescent="0.2">
      <c r="B269" s="309" t="s">
        <v>255</v>
      </c>
      <c r="C269" s="309"/>
      <c r="D269" s="309"/>
      <c r="E269" s="309"/>
      <c r="F269" s="309"/>
      <c r="G269" s="309"/>
      <c r="H269" s="309"/>
      <c r="I269" s="309"/>
      <c r="J269" s="309"/>
      <c r="K269" s="309"/>
    </row>
    <row r="270" spans="2:11" x14ac:dyDescent="0.2">
      <c r="B270" s="334" t="s">
        <v>257</v>
      </c>
      <c r="C270" s="334"/>
      <c r="D270" s="334"/>
      <c r="E270" s="334"/>
      <c r="F270" s="334"/>
      <c r="G270" s="334"/>
      <c r="H270" s="334"/>
      <c r="I270" s="334"/>
      <c r="J270" s="334"/>
      <c r="K270" s="334"/>
    </row>
    <row r="271" spans="2:11" x14ac:dyDescent="0.2">
      <c r="B271" s="347">
        <v>62</v>
      </c>
      <c r="C271" s="348" t="s">
        <v>244</v>
      </c>
      <c r="D271" s="348"/>
      <c r="E271" s="348"/>
      <c r="F271" s="348"/>
      <c r="G271" s="348"/>
      <c r="H271" s="348"/>
      <c r="I271" s="348"/>
      <c r="J271" s="348"/>
      <c r="K271" s="348"/>
    </row>
    <row r="272" spans="2:11" ht="14.25" customHeight="1" x14ac:dyDescent="0.2">
      <c r="B272" s="347"/>
      <c r="C272" s="345">
        <v>1</v>
      </c>
      <c r="D272" s="23">
        <v>26201041</v>
      </c>
      <c r="E272" s="80" t="s">
        <v>395</v>
      </c>
      <c r="F272" s="8">
        <f>IF(' جهات'!G195&gt;0,' جهات'!G195,"")</f>
        <v>35000</v>
      </c>
      <c r="G272" s="8">
        <f>IF(' جهات'!H195&gt;0,' جهات'!H195,"")</f>
        <v>35000</v>
      </c>
      <c r="H272" s="177">
        <f>IF(' جهات'!I195&gt;0,' جهات'!I195,"")</f>
        <v>35000</v>
      </c>
      <c r="I272" s="8" t="str">
        <f>IF(' جهات'!J195&gt;0,' جهات'!J195,"")</f>
        <v/>
      </c>
      <c r="J272" s="167">
        <f t="shared" si="63"/>
        <v>1</v>
      </c>
      <c r="K272" s="168">
        <f t="shared" si="64"/>
        <v>9.7973351248460423E-4</v>
      </c>
    </row>
    <row r="273" spans="2:11" ht="14.25" customHeight="1" x14ac:dyDescent="0.2">
      <c r="B273" s="347"/>
      <c r="C273" s="345"/>
      <c r="D273" s="23">
        <v>26201049</v>
      </c>
      <c r="E273" s="80" t="s">
        <v>238</v>
      </c>
      <c r="F273" s="8">
        <f>IF(' جهات'!G196&gt;0,' جهات'!G196,"")</f>
        <v>40000</v>
      </c>
      <c r="G273" s="8">
        <f>IF(' جهات'!H196&gt;0,' جهات'!H196,"")</f>
        <v>40000</v>
      </c>
      <c r="H273" s="177">
        <f>IF(' جهات'!I196&gt;0,' جهات'!I196,"")</f>
        <v>2018.4</v>
      </c>
      <c r="I273" s="8">
        <f>IF(' جهات'!J196&gt;0,' جهات'!J196,"")</f>
        <v>1981.6</v>
      </c>
      <c r="J273" s="167">
        <f t="shared" si="63"/>
        <v>5.0460000000000005E-2</v>
      </c>
      <c r="K273" s="168">
        <f t="shared" si="64"/>
        <v>5.6499832045683575E-5</v>
      </c>
    </row>
    <row r="274" spans="2:11" ht="14.25" customHeight="1" x14ac:dyDescent="0.2">
      <c r="B274" s="347"/>
      <c r="C274" s="345"/>
      <c r="D274" s="23">
        <v>26201050</v>
      </c>
      <c r="E274" s="80" t="s">
        <v>1</v>
      </c>
      <c r="F274" s="8">
        <f>IF(' جهات'!G197&gt;0,' جهات'!G197,"")</f>
        <v>70000</v>
      </c>
      <c r="G274" s="8">
        <f>IF(' جهات'!H197&gt;0,' جهات'!H197,"")</f>
        <v>69000</v>
      </c>
      <c r="H274" s="177">
        <f>IF(' جهات'!I197&gt;0,' جهات'!I197,"")</f>
        <v>50</v>
      </c>
      <c r="I274" s="8">
        <f>IF(' جهات'!J197&gt;0,' جهات'!J197,"")</f>
        <v>30000</v>
      </c>
      <c r="J274" s="167">
        <f t="shared" si="63"/>
        <v>7.246376811594203E-4</v>
      </c>
      <c r="K274" s="168">
        <f t="shared" si="64"/>
        <v>1.3996193035494346E-6</v>
      </c>
    </row>
    <row r="275" spans="2:11" s="37" customFormat="1" ht="14.25" customHeight="1" x14ac:dyDescent="0.2">
      <c r="B275" s="347"/>
      <c r="C275" s="345"/>
      <c r="D275" s="23">
        <v>26201053</v>
      </c>
      <c r="E275" s="80" t="s">
        <v>476</v>
      </c>
      <c r="F275" s="8">
        <f>IF(' جهات'!G18&gt;0,' جهات'!G18,"")</f>
        <v>9500</v>
      </c>
      <c r="G275" s="8">
        <f>IF(' جهات'!H18&gt;0,' جهات'!H18,"")</f>
        <v>29500</v>
      </c>
      <c r="H275" s="177">
        <f>IF(' جهات'!I18&gt;0,' جهات'!I18,"")</f>
        <v>28992</v>
      </c>
      <c r="I275" s="8" t="str">
        <f>IF(' جهات'!J18&gt;0,' جهات'!J18,"")</f>
        <v/>
      </c>
      <c r="J275" s="167">
        <f t="shared" si="63"/>
        <v>0.98277966101694914</v>
      </c>
      <c r="K275" s="168">
        <f t="shared" si="64"/>
        <v>8.115552569701041E-4</v>
      </c>
    </row>
    <row r="276" spans="2:11" x14ac:dyDescent="0.2">
      <c r="B276" s="347"/>
      <c r="C276" s="346" t="s">
        <v>21</v>
      </c>
      <c r="D276" s="346"/>
      <c r="E276" s="346"/>
      <c r="F276" s="60">
        <f>SUM(F272:F275)</f>
        <v>154500</v>
      </c>
      <c r="G276" s="60">
        <f t="shared" ref="G276:I276" si="66">SUM(G272:G275)</f>
        <v>173500</v>
      </c>
      <c r="H276" s="60">
        <f t="shared" si="66"/>
        <v>66060.399999999994</v>
      </c>
      <c r="I276" s="60">
        <f t="shared" si="66"/>
        <v>31981.599999999999</v>
      </c>
      <c r="J276" s="167">
        <f t="shared" si="63"/>
        <v>0.3807515850144092</v>
      </c>
      <c r="K276" s="168">
        <f t="shared" si="64"/>
        <v>1.8491882208039412E-3</v>
      </c>
    </row>
    <row r="277" spans="2:11" x14ac:dyDescent="0.2">
      <c r="B277" s="347"/>
      <c r="C277" s="348" t="s">
        <v>2</v>
      </c>
      <c r="D277" s="348"/>
      <c r="E277" s="348"/>
      <c r="F277" s="348"/>
      <c r="G277" s="348"/>
      <c r="H277" s="348"/>
      <c r="I277" s="348"/>
      <c r="J277" s="348"/>
      <c r="K277" s="348"/>
    </row>
    <row r="278" spans="2:11" ht="15" customHeight="1" x14ac:dyDescent="0.2">
      <c r="B278" s="347"/>
      <c r="C278" s="345">
        <v>2</v>
      </c>
      <c r="D278" s="23">
        <v>26202002</v>
      </c>
      <c r="E278" s="80" t="s">
        <v>3</v>
      </c>
      <c r="F278" s="8">
        <f>IF(' جهات'!G198&gt;0,' جهات'!G198,"")</f>
        <v>140000</v>
      </c>
      <c r="G278" s="8">
        <f>IF(' جهات'!H198&gt;0,' جهات'!H198,"")</f>
        <v>121000</v>
      </c>
      <c r="H278" s="177">
        <f>IF(' جهات'!I198&gt;0,' جهات'!I198,"")</f>
        <v>4621.2</v>
      </c>
      <c r="I278" s="8">
        <f>IF(' جهات'!J198&gt;0,' جهات'!J198,"")</f>
        <v>47978.8</v>
      </c>
      <c r="J278" s="167">
        <f t="shared" si="63"/>
        <v>3.8191735537190082E-2</v>
      </c>
      <c r="K278" s="168">
        <f t="shared" si="64"/>
        <v>1.2935841451125292E-4</v>
      </c>
    </row>
    <row r="279" spans="2:11" s="37" customFormat="1" ht="15" customHeight="1" x14ac:dyDescent="0.2">
      <c r="B279" s="347"/>
      <c r="C279" s="345"/>
      <c r="D279" s="23">
        <v>26202003</v>
      </c>
      <c r="E279" s="80" t="s">
        <v>483</v>
      </c>
      <c r="F279" s="43">
        <f>IF(' جهات'!G199&gt;0,' جهات'!G199,"")</f>
        <v>40000</v>
      </c>
      <c r="G279" s="43">
        <f>IF(' جهات'!H199&gt;0,' جهات'!H199,"")</f>
        <v>40000</v>
      </c>
      <c r="H279" s="177">
        <f>IF(' جهات'!I199&gt;0,' جهات'!I199,"")</f>
        <v>1300</v>
      </c>
      <c r="I279" s="43">
        <f>IF(' جهات'!J199&gt;0,' جهات'!J199,"")</f>
        <v>1700</v>
      </c>
      <c r="J279" s="167">
        <f t="shared" si="63"/>
        <v>3.2500000000000001E-2</v>
      </c>
      <c r="K279" s="168">
        <f t="shared" si="64"/>
        <v>3.6390101892285301E-5</v>
      </c>
    </row>
    <row r="280" spans="2:11" x14ac:dyDescent="0.2">
      <c r="B280" s="347"/>
      <c r="C280" s="346" t="s">
        <v>21</v>
      </c>
      <c r="D280" s="346"/>
      <c r="E280" s="346"/>
      <c r="F280" s="60">
        <f>SUM(F278:F279)</f>
        <v>180000</v>
      </c>
      <c r="G280" s="60">
        <f>SUM(G278:G279)</f>
        <v>161000</v>
      </c>
      <c r="H280" s="60">
        <f>SUM(H278:H279)</f>
        <v>5921.2</v>
      </c>
      <c r="I280" s="60">
        <f>SUM(I278:I279)</f>
        <v>49678.8</v>
      </c>
      <c r="J280" s="167">
        <f t="shared" si="63"/>
        <v>3.6777639751552793E-2</v>
      </c>
      <c r="K280" s="168">
        <f t="shared" si="64"/>
        <v>1.6574851640353824E-4</v>
      </c>
    </row>
    <row r="281" spans="2:11" x14ac:dyDescent="0.2">
      <c r="B281" s="321" t="s">
        <v>256</v>
      </c>
      <c r="C281" s="321"/>
      <c r="D281" s="321"/>
      <c r="E281" s="321"/>
      <c r="F281" s="61">
        <f>F276+F280</f>
        <v>334500</v>
      </c>
      <c r="G281" s="61">
        <f>G276+G280</f>
        <v>334500</v>
      </c>
      <c r="H281" s="61">
        <f>H276+H280</f>
        <v>71981.599999999991</v>
      </c>
      <c r="I281" s="61">
        <f>I276+I280</f>
        <v>81660.399999999994</v>
      </c>
      <c r="J281" s="167">
        <f t="shared" si="63"/>
        <v>0.21519162929745886</v>
      </c>
      <c r="K281" s="168">
        <f t="shared" si="64"/>
        <v>2.0149367372074792E-3</v>
      </c>
    </row>
    <row r="282" spans="2:11" x14ac:dyDescent="0.2">
      <c r="B282" s="334" t="s">
        <v>418</v>
      </c>
      <c r="C282" s="334"/>
      <c r="D282" s="334"/>
      <c r="E282" s="334"/>
      <c r="F282" s="334"/>
      <c r="G282" s="334"/>
      <c r="H282" s="334"/>
      <c r="I282" s="334"/>
      <c r="J282" s="334"/>
      <c r="K282" s="334"/>
    </row>
    <row r="283" spans="2:11" x14ac:dyDescent="0.2">
      <c r="B283" s="347">
        <v>63</v>
      </c>
      <c r="C283" s="348" t="s">
        <v>4</v>
      </c>
      <c r="D283" s="348"/>
      <c r="E283" s="348"/>
      <c r="F283" s="348"/>
      <c r="G283" s="348"/>
      <c r="H283" s="348"/>
      <c r="I283" s="348"/>
      <c r="J283" s="348"/>
      <c r="K283" s="348"/>
    </row>
    <row r="284" spans="2:11" ht="14.25" customHeight="1" x14ac:dyDescent="0.2">
      <c r="B284" s="347"/>
      <c r="C284" s="345">
        <v>1</v>
      </c>
      <c r="D284" s="9">
        <v>26301001</v>
      </c>
      <c r="E284" s="80" t="s">
        <v>102</v>
      </c>
      <c r="F284" s="8">
        <f>IF(' جهات'!G269&gt;0,' جهات'!G269,"")</f>
        <v>40000</v>
      </c>
      <c r="G284" s="8">
        <f>IF(' جهات'!H269&gt;0,' جهات'!H269,"")</f>
        <v>20000</v>
      </c>
      <c r="H284" s="177">
        <f>IF(' جهات'!I269&gt;0,' جهات'!I269,"")</f>
        <v>610</v>
      </c>
      <c r="I284" s="8">
        <f>IF(' جهات'!J269&gt;0,' جهات'!J269,"")</f>
        <v>361.25</v>
      </c>
      <c r="J284" s="167">
        <f t="shared" si="63"/>
        <v>3.0499999999999999E-2</v>
      </c>
      <c r="K284" s="168">
        <f t="shared" si="64"/>
        <v>1.7075355503303101E-5</v>
      </c>
    </row>
    <row r="285" spans="2:11" ht="14.25" customHeight="1" x14ac:dyDescent="0.2">
      <c r="B285" s="347"/>
      <c r="C285" s="345"/>
      <c r="D285" s="23">
        <v>26301006</v>
      </c>
      <c r="E285" s="80" t="s">
        <v>5</v>
      </c>
      <c r="F285" s="8">
        <f>IF(' جهات'!G284&gt;0,' جهات'!G284,"")</f>
        <v>5000</v>
      </c>
      <c r="G285" s="8">
        <f>IF(' جهات'!H284&gt;0,' جهات'!H284,"")</f>
        <v>5000</v>
      </c>
      <c r="H285" s="177" t="str">
        <f>IF(' جهات'!I284&gt;0,' جهات'!I284,"")</f>
        <v/>
      </c>
      <c r="I285" s="8" t="str">
        <f>IF(' جهات'!J284&gt;0,' جهات'!J284,"")</f>
        <v/>
      </c>
      <c r="J285" s="167" t="str">
        <f t="shared" si="63"/>
        <v/>
      </c>
      <c r="K285" s="168" t="str">
        <f t="shared" si="64"/>
        <v/>
      </c>
    </row>
    <row r="286" spans="2:11" s="37" customFormat="1" ht="14.25" customHeight="1" x14ac:dyDescent="0.2">
      <c r="B286" s="347"/>
      <c r="C286" s="345"/>
      <c r="D286" s="23">
        <v>26301007</v>
      </c>
      <c r="E286" s="4" t="s">
        <v>502</v>
      </c>
      <c r="F286" s="8">
        <f>IF(' جهات'!G200&gt;0,' جهات'!G200,"")</f>
        <v>5000</v>
      </c>
      <c r="G286" s="8">
        <f>IF(' جهات'!H200&gt;0,' جهات'!H200,"")</f>
        <v>5000</v>
      </c>
      <c r="H286" s="177">
        <f>IF(' جهات'!I200&gt;0,' جهات'!I200,"")</f>
        <v>2499.8000000000002</v>
      </c>
      <c r="I286" s="8" t="str">
        <f>IF(' جهات'!J200&gt;0,' جهات'!J200,"")</f>
        <v/>
      </c>
      <c r="J286" s="167">
        <f t="shared" si="63"/>
        <v>0.49996000000000002</v>
      </c>
      <c r="K286" s="168">
        <f t="shared" si="64"/>
        <v>6.9975366700257541E-5</v>
      </c>
    </row>
    <row r="287" spans="2:11" s="37" customFormat="1" ht="14.25" customHeight="1" x14ac:dyDescent="0.2">
      <c r="B287" s="347"/>
      <c r="C287" s="345"/>
      <c r="D287" s="23">
        <v>26301016</v>
      </c>
      <c r="E287" s="4" t="s">
        <v>454</v>
      </c>
      <c r="F287" s="8">
        <f>IF(' جهات'!G111&gt;0,' جهات'!G111,"")</f>
        <v>5000</v>
      </c>
      <c r="G287" s="8">
        <f>IF(' جهات'!H111&gt;0,' جهات'!H111,"")</f>
        <v>5000</v>
      </c>
      <c r="H287" s="177" t="str">
        <f>IF(' جهات'!I111&gt;0,' جهات'!I111,"")</f>
        <v/>
      </c>
      <c r="I287" s="8" t="str">
        <f>IF(' جهات'!J111&gt;0,' جهات'!J111,"")</f>
        <v/>
      </c>
      <c r="J287" s="167" t="str">
        <f t="shared" si="63"/>
        <v/>
      </c>
      <c r="K287" s="168" t="str">
        <f t="shared" si="64"/>
        <v/>
      </c>
    </row>
    <row r="288" spans="2:11" s="37" customFormat="1" ht="14.25" customHeight="1" x14ac:dyDescent="0.2">
      <c r="B288" s="347"/>
      <c r="C288" s="345"/>
      <c r="D288" s="23">
        <v>26301019</v>
      </c>
      <c r="E288" s="4" t="s">
        <v>471</v>
      </c>
      <c r="F288" s="8">
        <f>IF(' جهات'!G78&gt;0,' جهات'!G78,"")</f>
        <v>20000</v>
      </c>
      <c r="G288" s="8" t="str">
        <f>IF(' جهات'!H78&gt;0,' جهات'!H78,"")</f>
        <v/>
      </c>
      <c r="H288" s="177" t="str">
        <f>IF(' جهات'!I78&gt;0,' جهات'!I78,"")</f>
        <v/>
      </c>
      <c r="I288" s="8" t="str">
        <f>IF(' جهات'!J78&gt;0,' جهات'!J78,"")</f>
        <v/>
      </c>
      <c r="J288" s="167" t="str">
        <f t="shared" si="63"/>
        <v/>
      </c>
      <c r="K288" s="168" t="str">
        <f t="shared" si="64"/>
        <v/>
      </c>
    </row>
    <row r="289" spans="2:11" x14ac:dyDescent="0.2">
      <c r="B289" s="347"/>
      <c r="C289" s="346" t="s">
        <v>21</v>
      </c>
      <c r="D289" s="346"/>
      <c r="E289" s="346"/>
      <c r="F289" s="60">
        <f>SUM(F284:F288)</f>
        <v>75000</v>
      </c>
      <c r="G289" s="60">
        <f>SUM(G284:G288)</f>
        <v>35000</v>
      </c>
      <c r="H289" s="60">
        <f>SUM(H284:H288)</f>
        <v>3109.8</v>
      </c>
      <c r="I289" s="60">
        <f>SUM(I284:I288)</f>
        <v>361.25</v>
      </c>
      <c r="J289" s="167">
        <f t="shared" si="63"/>
        <v>8.8851428571428581E-2</v>
      </c>
      <c r="K289" s="168">
        <f t="shared" si="64"/>
        <v>8.7050722203560642E-5</v>
      </c>
    </row>
    <row r="290" spans="2:11" x14ac:dyDescent="0.2">
      <c r="B290" s="347"/>
      <c r="C290" s="348" t="s">
        <v>239</v>
      </c>
      <c r="D290" s="348"/>
      <c r="E290" s="348"/>
      <c r="F290" s="348"/>
      <c r="G290" s="348"/>
      <c r="H290" s="348"/>
      <c r="I290" s="348"/>
      <c r="J290" s="348"/>
      <c r="K290" s="348"/>
    </row>
    <row r="291" spans="2:11" ht="15" customHeight="1" x14ac:dyDescent="0.2">
      <c r="B291" s="347"/>
      <c r="C291" s="345">
        <v>2</v>
      </c>
      <c r="D291" s="23">
        <v>26302001</v>
      </c>
      <c r="E291" s="80" t="s">
        <v>240</v>
      </c>
      <c r="F291" s="8">
        <f>IF(' جهات'!G270&gt;0,' جهات'!G270,"")</f>
        <v>15000</v>
      </c>
      <c r="G291" s="8">
        <f>IF(' جهات'!H270&gt;0,' جهات'!H270,"")</f>
        <v>75000</v>
      </c>
      <c r="H291" s="177">
        <f>IF(' جهات'!I270&gt;0,' جهات'!I270,"")</f>
        <v>750</v>
      </c>
      <c r="I291" s="8">
        <f>IF(' جهات'!J270&gt;0,' جهات'!J270,"")</f>
        <v>70450</v>
      </c>
      <c r="J291" s="167">
        <f t="shared" si="63"/>
        <v>0.01</v>
      </c>
      <c r="K291" s="168">
        <f t="shared" si="64"/>
        <v>2.0994289553241517E-5</v>
      </c>
    </row>
    <row r="292" spans="2:11" ht="15" customHeight="1" x14ac:dyDescent="0.2">
      <c r="B292" s="347"/>
      <c r="C292" s="345"/>
      <c r="D292" s="23">
        <v>26302004</v>
      </c>
      <c r="E292" s="80" t="s">
        <v>6</v>
      </c>
      <c r="F292" s="8">
        <f>IF(' جهات'!G19&gt;0,' جهات'!G19,"")</f>
        <v>1000</v>
      </c>
      <c r="G292" s="8">
        <f>IF(' جهات'!H19&gt;0,' جهات'!H19,"")</f>
        <v>1000</v>
      </c>
      <c r="H292" s="177">
        <f>IF(' جهات'!I19&gt;0,' جهات'!I19,"")</f>
        <v>8</v>
      </c>
      <c r="I292" s="8" t="str">
        <f>IF(' جهات'!J19&gt;0,' جهات'!J19,"")</f>
        <v/>
      </c>
      <c r="J292" s="167">
        <f t="shared" si="63"/>
        <v>8.0000000000000002E-3</v>
      </c>
      <c r="K292" s="168">
        <f t="shared" si="64"/>
        <v>2.2393908856790952E-7</v>
      </c>
    </row>
    <row r="293" spans="2:11" ht="15" customHeight="1" x14ac:dyDescent="0.2">
      <c r="B293" s="347"/>
      <c r="C293" s="345"/>
      <c r="D293" s="23">
        <v>26302005</v>
      </c>
      <c r="E293" s="80" t="s">
        <v>457</v>
      </c>
      <c r="F293" s="8">
        <f>IF(' جهات'!G182&gt;0,' جهات'!G182,"")</f>
        <v>20000</v>
      </c>
      <c r="G293" s="8" t="str">
        <f>IF(' جهات'!H182&gt;0,' جهات'!H182,"")</f>
        <v/>
      </c>
      <c r="H293" s="177" t="str">
        <f>IF(' جهات'!I182&gt;0,' جهات'!I182,"")</f>
        <v/>
      </c>
      <c r="I293" s="8" t="str">
        <f>IF(' جهات'!J182&gt;0,' جهات'!J182,"")</f>
        <v/>
      </c>
      <c r="J293" s="167" t="str">
        <f t="shared" si="63"/>
        <v/>
      </c>
      <c r="K293" s="168" t="str">
        <f t="shared" si="64"/>
        <v/>
      </c>
    </row>
    <row r="294" spans="2:11" ht="15" customHeight="1" x14ac:dyDescent="0.2">
      <c r="B294" s="347"/>
      <c r="C294" s="345"/>
      <c r="D294" s="23">
        <v>26302007</v>
      </c>
      <c r="E294" s="80" t="s">
        <v>293</v>
      </c>
      <c r="F294" s="8">
        <f>IF(' جهات'!G85&gt;0,' جهات'!G85,"")</f>
        <v>10000</v>
      </c>
      <c r="G294" s="8">
        <f>IF(' جهات'!H85&gt;0,' جهات'!H85,"")</f>
        <v>10000</v>
      </c>
      <c r="H294" s="177">
        <f>IF(' جهات'!I85&gt;0,' جهات'!I85,"")</f>
        <v>1000</v>
      </c>
      <c r="I294" s="8" t="str">
        <f>IF(' جهات'!J85&gt;0,' جهات'!J85,"")</f>
        <v/>
      </c>
      <c r="J294" s="167">
        <f t="shared" si="63"/>
        <v>0.1</v>
      </c>
      <c r="K294" s="168">
        <f t="shared" si="64"/>
        <v>2.7992386070988691E-5</v>
      </c>
    </row>
    <row r="295" spans="2:11" s="37" customFormat="1" ht="15" customHeight="1" x14ac:dyDescent="0.2">
      <c r="B295" s="347"/>
      <c r="C295" s="345"/>
      <c r="D295" s="23">
        <v>26302008</v>
      </c>
      <c r="E295" s="80" t="s">
        <v>441</v>
      </c>
      <c r="F295" s="8">
        <f>IF(' جهات'!G256&gt;0,' جهات'!G256,"")</f>
        <v>10000</v>
      </c>
      <c r="G295" s="8">
        <f>IF(' جهات'!H256&gt;0,' جهات'!H256,"")</f>
        <v>10000</v>
      </c>
      <c r="H295" s="177" t="str">
        <f>IF(' جهات'!I256&gt;0,' جهات'!I256,"")</f>
        <v/>
      </c>
      <c r="I295" s="8" t="str">
        <f>IF(' جهات'!J256&gt;0,' جهات'!J256,"")</f>
        <v/>
      </c>
      <c r="J295" s="167" t="str">
        <f t="shared" si="63"/>
        <v/>
      </c>
      <c r="K295" s="168" t="str">
        <f t="shared" si="64"/>
        <v/>
      </c>
    </row>
    <row r="296" spans="2:11" ht="15" customHeight="1" x14ac:dyDescent="0.2">
      <c r="B296" s="347"/>
      <c r="C296" s="346" t="s">
        <v>21</v>
      </c>
      <c r="D296" s="346"/>
      <c r="E296" s="346"/>
      <c r="F296" s="60">
        <f>SUM(F291:F295)</f>
        <v>56000</v>
      </c>
      <c r="G296" s="60">
        <f t="shared" ref="G296:I296" si="67">SUM(G291:G295)</f>
        <v>96000</v>
      </c>
      <c r="H296" s="60">
        <f>SUM(H291:H295)</f>
        <v>1758</v>
      </c>
      <c r="I296" s="60">
        <f t="shared" si="67"/>
        <v>70450</v>
      </c>
      <c r="J296" s="167">
        <f t="shared" si="63"/>
        <v>1.8312499999999999E-2</v>
      </c>
      <c r="K296" s="168">
        <f t="shared" si="64"/>
        <v>4.9210614712798118E-5</v>
      </c>
    </row>
    <row r="297" spans="2:11" x14ac:dyDescent="0.2">
      <c r="B297" s="347"/>
      <c r="C297" s="348" t="s">
        <v>7</v>
      </c>
      <c r="D297" s="348"/>
      <c r="E297" s="348"/>
      <c r="F297" s="348"/>
      <c r="G297" s="348"/>
      <c r="H297" s="348"/>
      <c r="I297" s="348"/>
      <c r="J297" s="348"/>
      <c r="K297" s="348"/>
    </row>
    <row r="298" spans="2:11" ht="15" customHeight="1" x14ac:dyDescent="0.2">
      <c r="B298" s="347"/>
      <c r="C298" s="345">
        <v>3</v>
      </c>
      <c r="D298" s="23">
        <v>26303001</v>
      </c>
      <c r="E298" s="80" t="s">
        <v>294</v>
      </c>
      <c r="F298" s="8">
        <f>IF(' جهات'!G183&gt;0,' جهات'!G183,"")</f>
        <v>10000</v>
      </c>
      <c r="G298" s="8">
        <f>IF(' جهات'!H183&gt;0,' جهات'!H183,"")</f>
        <v>10000</v>
      </c>
      <c r="H298" s="177" t="str">
        <f>IF(' جهات'!I183&gt;0,' جهات'!I183,"")</f>
        <v/>
      </c>
      <c r="I298" s="8" t="str">
        <f>IF(' جهات'!J183&gt;0,' جهات'!J183,"")</f>
        <v/>
      </c>
      <c r="J298" s="167" t="str">
        <f t="shared" si="63"/>
        <v/>
      </c>
      <c r="K298" s="168" t="str">
        <f t="shared" si="64"/>
        <v/>
      </c>
    </row>
    <row r="299" spans="2:11" ht="15" customHeight="1" x14ac:dyDescent="0.2">
      <c r="B299" s="347"/>
      <c r="C299" s="345"/>
      <c r="D299" s="23">
        <v>26303002</v>
      </c>
      <c r="E299" s="80" t="s">
        <v>303</v>
      </c>
      <c r="F299" s="8">
        <f>IF(' جهات'!G184&gt;0,' جهات'!G184,"")</f>
        <v>4000</v>
      </c>
      <c r="G299" s="8">
        <f>IF(' جهات'!H184&gt;0,' جهات'!H184,"")</f>
        <v>4000</v>
      </c>
      <c r="H299" s="177" t="str">
        <f>IF(' جهات'!I184&gt;0,' جهات'!I184,"")</f>
        <v/>
      </c>
      <c r="I299" s="8" t="str">
        <f>IF(' جهات'!J184&gt;0,' جهات'!J184,"")</f>
        <v/>
      </c>
      <c r="J299" s="167" t="str">
        <f t="shared" si="63"/>
        <v/>
      </c>
      <c r="K299" s="168" t="str">
        <f t="shared" si="64"/>
        <v/>
      </c>
    </row>
    <row r="300" spans="2:11" ht="15" customHeight="1" x14ac:dyDescent="0.2">
      <c r="B300" s="347"/>
      <c r="C300" s="346" t="s">
        <v>21</v>
      </c>
      <c r="D300" s="346"/>
      <c r="E300" s="346"/>
      <c r="F300" s="60">
        <f>SUM(F298:F299)</f>
        <v>14000</v>
      </c>
      <c r="G300" s="60">
        <f t="shared" ref="G300:I300" si="68">SUM(G298:G299)</f>
        <v>14000</v>
      </c>
      <c r="H300" s="60">
        <f t="shared" si="68"/>
        <v>0</v>
      </c>
      <c r="I300" s="60">
        <f t="shared" si="68"/>
        <v>0</v>
      </c>
      <c r="J300" s="167">
        <f t="shared" si="63"/>
        <v>0</v>
      </c>
      <c r="K300" s="168">
        <f t="shared" si="64"/>
        <v>0</v>
      </c>
    </row>
    <row r="301" spans="2:11" x14ac:dyDescent="0.2">
      <c r="B301" s="321" t="s">
        <v>140</v>
      </c>
      <c r="C301" s="321"/>
      <c r="D301" s="321"/>
      <c r="E301" s="321"/>
      <c r="F301" s="61">
        <f>F289+F296+F300</f>
        <v>145000</v>
      </c>
      <c r="G301" s="61">
        <f t="shared" ref="G301:I301" si="69">G289+G296+G300</f>
        <v>145000</v>
      </c>
      <c r="H301" s="61">
        <f>H289+H296+H300</f>
        <v>4867.8</v>
      </c>
      <c r="I301" s="61">
        <f t="shared" si="69"/>
        <v>70811.25</v>
      </c>
      <c r="J301" s="167">
        <f t="shared" si="63"/>
        <v>3.3571034482758624E-2</v>
      </c>
      <c r="K301" s="168">
        <f t="shared" si="64"/>
        <v>1.3626133691635876E-4</v>
      </c>
    </row>
    <row r="302" spans="2:11" x14ac:dyDescent="0.2">
      <c r="B302" s="334" t="s">
        <v>297</v>
      </c>
      <c r="C302" s="334"/>
      <c r="D302" s="334"/>
      <c r="E302" s="334"/>
      <c r="F302" s="334"/>
      <c r="G302" s="334"/>
      <c r="H302" s="334"/>
      <c r="I302" s="334"/>
      <c r="J302" s="334"/>
      <c r="K302" s="334"/>
    </row>
    <row r="303" spans="2:11" x14ac:dyDescent="0.2">
      <c r="B303" s="347">
        <v>64</v>
      </c>
      <c r="C303" s="348" t="s">
        <v>9</v>
      </c>
      <c r="D303" s="348"/>
      <c r="E303" s="348"/>
      <c r="F303" s="348"/>
      <c r="G303" s="348"/>
      <c r="H303" s="348"/>
      <c r="I303" s="348"/>
      <c r="J303" s="348"/>
      <c r="K303" s="348"/>
    </row>
    <row r="304" spans="2:11" ht="14.25" customHeight="1" x14ac:dyDescent="0.2">
      <c r="B304" s="347"/>
      <c r="C304" s="345">
        <v>1</v>
      </c>
      <c r="D304" s="23">
        <v>26401017</v>
      </c>
      <c r="E304" s="80" t="s">
        <v>9</v>
      </c>
      <c r="F304" s="8">
        <f>IF(' جهات'!G299&gt;0,' جهات'!G299,"")</f>
        <v>50000</v>
      </c>
      <c r="G304" s="8">
        <f>IF(' جهات'!H299&gt;0,' جهات'!H299,"")</f>
        <v>50000</v>
      </c>
      <c r="H304" s="177" t="str">
        <f>IF(' جهات'!I299&gt;0,' جهات'!I299,"")</f>
        <v/>
      </c>
      <c r="I304" s="8" t="str">
        <f>IF(' جهات'!J299&gt;0,' جهات'!J299,"")</f>
        <v/>
      </c>
      <c r="J304" s="167" t="str">
        <f t="shared" si="63"/>
        <v/>
      </c>
      <c r="K304" s="168" t="str">
        <f t="shared" si="64"/>
        <v/>
      </c>
    </row>
    <row r="305" spans="2:11" ht="14.25" customHeight="1" x14ac:dyDescent="0.2">
      <c r="B305" s="347"/>
      <c r="C305" s="345"/>
      <c r="D305" s="23">
        <v>26401018</v>
      </c>
      <c r="E305" s="80" t="s">
        <v>241</v>
      </c>
      <c r="F305" s="8">
        <f>IF(' جهات'!G300&gt;0,' جهات'!G300,"")</f>
        <v>15000</v>
      </c>
      <c r="G305" s="8">
        <f>IF(' جهات'!H300&gt;0,' جهات'!H300,"")</f>
        <v>15000</v>
      </c>
      <c r="H305" s="177" t="str">
        <f>IF(' جهات'!I300&gt;0,' جهات'!I300,"")</f>
        <v/>
      </c>
      <c r="I305" s="8" t="str">
        <f>IF(' جهات'!J300&gt;0,' جهات'!J300,"")</f>
        <v/>
      </c>
      <c r="J305" s="167" t="str">
        <f t="shared" si="63"/>
        <v/>
      </c>
      <c r="K305" s="168" t="str">
        <f t="shared" si="64"/>
        <v/>
      </c>
    </row>
    <row r="306" spans="2:11" x14ac:dyDescent="0.2">
      <c r="B306" s="347"/>
      <c r="C306" s="346" t="s">
        <v>21</v>
      </c>
      <c r="D306" s="346"/>
      <c r="E306" s="346"/>
      <c r="F306" s="60">
        <f>SUM(F304:F305)</f>
        <v>65000</v>
      </c>
      <c r="G306" s="60">
        <f t="shared" ref="G306:I306" si="70">SUM(G304:G305)</f>
        <v>65000</v>
      </c>
      <c r="H306" s="60">
        <f t="shared" si="70"/>
        <v>0</v>
      </c>
      <c r="I306" s="60">
        <f t="shared" si="70"/>
        <v>0</v>
      </c>
      <c r="J306" s="167">
        <f t="shared" si="63"/>
        <v>0</v>
      </c>
      <c r="K306" s="168">
        <f t="shared" si="64"/>
        <v>0</v>
      </c>
    </row>
    <row r="307" spans="2:11" x14ac:dyDescent="0.2">
      <c r="B307" s="347"/>
      <c r="C307" s="348" t="s">
        <v>299</v>
      </c>
      <c r="D307" s="348"/>
      <c r="E307" s="348"/>
      <c r="F307" s="348"/>
      <c r="G307" s="348"/>
      <c r="H307" s="348"/>
      <c r="I307" s="348"/>
      <c r="J307" s="348"/>
      <c r="K307" s="348"/>
    </row>
    <row r="308" spans="2:11" ht="15" customHeight="1" x14ac:dyDescent="0.2">
      <c r="B308" s="347"/>
      <c r="C308" s="360">
        <v>2</v>
      </c>
      <c r="D308" s="23">
        <v>26402001</v>
      </c>
      <c r="E308" s="80" t="s">
        <v>295</v>
      </c>
      <c r="F308" s="8">
        <f>IF(' جهات'!G319&gt;0,' جهات'!G319,"")</f>
        <v>10000</v>
      </c>
      <c r="G308" s="8">
        <f>IF(' جهات'!H319&gt;0,' جهات'!H319,"")</f>
        <v>10000</v>
      </c>
      <c r="H308" s="177" t="str">
        <f>IF(' جهات'!I319&gt;0,' جهات'!I319,"")</f>
        <v/>
      </c>
      <c r="I308" s="8" t="str">
        <f>IF(' جهات'!J319&gt;0,' جهات'!J319,"")</f>
        <v/>
      </c>
      <c r="J308" s="167" t="str">
        <f t="shared" si="63"/>
        <v/>
      </c>
      <c r="K308" s="168" t="str">
        <f t="shared" si="64"/>
        <v/>
      </c>
    </row>
    <row r="309" spans="2:11" ht="15" customHeight="1" x14ac:dyDescent="0.2">
      <c r="B309" s="347"/>
      <c r="C309" s="360"/>
      <c r="D309" s="23">
        <v>26402002</v>
      </c>
      <c r="E309" s="80" t="s">
        <v>296</v>
      </c>
      <c r="F309" s="8">
        <f>IF(' جهات'!G359&gt;0,' جهات'!G359,"")</f>
        <v>20000</v>
      </c>
      <c r="G309" s="8">
        <f>IF(' جهات'!H359&gt;0,' جهات'!H359,"")</f>
        <v>20000</v>
      </c>
      <c r="H309" s="177" t="str">
        <f>IF(' جهات'!I359&gt;0,' جهات'!I359,"")</f>
        <v/>
      </c>
      <c r="I309" s="8" t="str">
        <f>IF(' جهات'!J359&gt;0,' جهات'!J359,"")</f>
        <v/>
      </c>
      <c r="J309" s="167" t="str">
        <f t="shared" si="63"/>
        <v/>
      </c>
      <c r="K309" s="168" t="str">
        <f t="shared" si="64"/>
        <v/>
      </c>
    </row>
    <row r="310" spans="2:11" ht="15" customHeight="1" x14ac:dyDescent="0.2">
      <c r="B310" s="347"/>
      <c r="C310" s="360"/>
      <c r="D310" s="23">
        <v>26402003</v>
      </c>
      <c r="E310" s="80" t="s">
        <v>461</v>
      </c>
      <c r="F310" s="8">
        <f>IF(' جهات'!G301&gt;0,' جهات'!G301,"")</f>
        <v>15000</v>
      </c>
      <c r="G310" s="8">
        <f>IF(' جهات'!H301&gt;0,' جهات'!H301,"")</f>
        <v>15000</v>
      </c>
      <c r="H310" s="177" t="str">
        <f>IF(' جهات'!I301&gt;0,' جهات'!I301,"")</f>
        <v/>
      </c>
      <c r="I310" s="8" t="str">
        <f>IF(' جهات'!J301&gt;0,' جهات'!J301,"")</f>
        <v/>
      </c>
      <c r="J310" s="167" t="str">
        <f t="shared" si="63"/>
        <v/>
      </c>
      <c r="K310" s="168" t="str">
        <f t="shared" si="64"/>
        <v/>
      </c>
    </row>
    <row r="311" spans="2:11" ht="15" customHeight="1" x14ac:dyDescent="0.2">
      <c r="B311" s="347"/>
      <c r="C311" s="360"/>
      <c r="D311" s="23">
        <v>26402004</v>
      </c>
      <c r="E311" s="80" t="s">
        <v>298</v>
      </c>
      <c r="F311" s="8">
        <f>IF(' جهات'!G302&gt;0,' جهات'!G302,"")</f>
        <v>15000</v>
      </c>
      <c r="G311" s="8">
        <f>IF(' جهات'!H302&gt;0,' جهات'!H302,"")</f>
        <v>15000</v>
      </c>
      <c r="H311" s="177">
        <f>IF(' جهات'!I302&gt;0,' جهات'!I302,"")</f>
        <v>2783</v>
      </c>
      <c r="I311" s="8">
        <f>IF(' جهات'!J302&gt;0,' جهات'!J302,"")</f>
        <v>67</v>
      </c>
      <c r="J311" s="167">
        <f t="shared" si="63"/>
        <v>0.18553333333333333</v>
      </c>
      <c r="K311" s="168">
        <f t="shared" si="64"/>
        <v>7.7902810435561529E-5</v>
      </c>
    </row>
    <row r="312" spans="2:11" ht="15" customHeight="1" x14ac:dyDescent="0.2">
      <c r="B312" s="347"/>
      <c r="C312" s="360"/>
      <c r="D312" s="23">
        <v>26402005</v>
      </c>
      <c r="E312" s="80" t="s">
        <v>306</v>
      </c>
      <c r="F312" s="8">
        <f>IF(' جهات'!G20&gt;0,' جهات'!G20,"")</f>
        <v>5000</v>
      </c>
      <c r="G312" s="8">
        <f>IF(' جهات'!H20&gt;0,' جهات'!H20,"")</f>
        <v>5000</v>
      </c>
      <c r="H312" s="177" t="str">
        <f>IF(' جهات'!I20&gt;0,' جهات'!I20,"")</f>
        <v/>
      </c>
      <c r="I312" s="8" t="str">
        <f>IF(' جهات'!J20&gt;0,' جهات'!J20,"")</f>
        <v/>
      </c>
      <c r="J312" s="167" t="str">
        <f t="shared" si="63"/>
        <v/>
      </c>
      <c r="K312" s="168" t="str">
        <f t="shared" si="64"/>
        <v/>
      </c>
    </row>
    <row r="313" spans="2:11" ht="15" customHeight="1" x14ac:dyDescent="0.2">
      <c r="B313" s="347"/>
      <c r="C313" s="360"/>
      <c r="D313" s="23">
        <v>26402006</v>
      </c>
      <c r="E313" s="80" t="s">
        <v>315</v>
      </c>
      <c r="F313" s="8">
        <f>IF(' جهات'!G257+' جهات'!G350&gt;0,' جهات'!G257+' جهات'!G350,"")</f>
        <v>20000</v>
      </c>
      <c r="G313" s="8">
        <f>IF(' جهات'!H257+' جهات'!H350&gt;0,' جهات'!H257+' جهات'!H350,"")</f>
        <v>20000</v>
      </c>
      <c r="H313" s="177">
        <f>IF(' جهات'!I257+' جهات'!I350&gt;0,' جهات'!I257+' جهات'!I350,"")</f>
        <v>59.9</v>
      </c>
      <c r="I313" s="8">
        <f>IF(' جهات'!J257+' جهات'!J350&gt;0,' جهات'!J257+' جهات'!J350,"")</f>
        <v>2050</v>
      </c>
      <c r="J313" s="167">
        <f t="shared" si="63"/>
        <v>2.9949999999999998E-3</v>
      </c>
      <c r="K313" s="168">
        <f t="shared" si="64"/>
        <v>1.6767439256522225E-6</v>
      </c>
    </row>
    <row r="314" spans="2:11" x14ac:dyDescent="0.2">
      <c r="B314" s="347"/>
      <c r="C314" s="346" t="s">
        <v>21</v>
      </c>
      <c r="D314" s="346"/>
      <c r="E314" s="346"/>
      <c r="F314" s="60">
        <f>SUM(F308:F313)</f>
        <v>85000</v>
      </c>
      <c r="G314" s="60">
        <f t="shared" ref="G314:I314" si="71">SUM(G308:G313)</f>
        <v>85000</v>
      </c>
      <c r="H314" s="60">
        <f t="shared" si="71"/>
        <v>2842.9</v>
      </c>
      <c r="I314" s="60">
        <f t="shared" si="71"/>
        <v>2117</v>
      </c>
      <c r="J314" s="167">
        <f t="shared" si="63"/>
        <v>3.3445882352941179E-2</v>
      </c>
      <c r="K314" s="168">
        <f t="shared" si="64"/>
        <v>7.9579554361213758E-5</v>
      </c>
    </row>
    <row r="315" spans="2:11" x14ac:dyDescent="0.2">
      <c r="B315" s="347"/>
      <c r="C315" s="348" t="s">
        <v>8</v>
      </c>
      <c r="D315" s="348"/>
      <c r="E315" s="348"/>
      <c r="F315" s="348"/>
      <c r="G315" s="348"/>
      <c r="H315" s="348"/>
      <c r="I315" s="348"/>
      <c r="J315" s="348"/>
      <c r="K315" s="348"/>
    </row>
    <row r="316" spans="2:11" ht="15" customHeight="1" x14ac:dyDescent="0.2">
      <c r="B316" s="347"/>
      <c r="C316" s="360">
        <v>4</v>
      </c>
      <c r="D316" s="23">
        <v>26404001</v>
      </c>
      <c r="E316" s="80" t="s">
        <v>304</v>
      </c>
      <c r="F316" s="8">
        <f>IF(' جهات'!G320&gt;0,' جهات'!G320,"")</f>
        <v>20000</v>
      </c>
      <c r="G316" s="8">
        <f>IF(' جهات'!H320&gt;0,' جهات'!H320,"")</f>
        <v>20000</v>
      </c>
      <c r="H316" s="177" t="str">
        <f>IF(' جهات'!I320&gt;0,' جهات'!I320,"")</f>
        <v/>
      </c>
      <c r="I316" s="8">
        <f>IF(' جهات'!J320&gt;0,' جهات'!J320,"")</f>
        <v>4680</v>
      </c>
      <c r="J316" s="167" t="str">
        <f t="shared" si="63"/>
        <v/>
      </c>
      <c r="K316" s="168" t="str">
        <f t="shared" si="64"/>
        <v/>
      </c>
    </row>
    <row r="317" spans="2:11" ht="15" customHeight="1" x14ac:dyDescent="0.2">
      <c r="B317" s="347"/>
      <c r="C317" s="360"/>
      <c r="D317" s="23">
        <v>26404002</v>
      </c>
      <c r="E317" s="80" t="s">
        <v>305</v>
      </c>
      <c r="F317" s="8">
        <f>IF(' جهات'!G360&gt;0,' جهات'!G360,"")</f>
        <v>30000</v>
      </c>
      <c r="G317" s="8">
        <f>IF(' جهات'!H360&gt;0,' جهات'!H360,"")</f>
        <v>30000</v>
      </c>
      <c r="H317" s="177">
        <f>IF(' جهات'!I360&gt;0,' جهات'!I360,"")</f>
        <v>7690.8</v>
      </c>
      <c r="I317" s="8">
        <f>IF(' جهات'!J360&gt;0,' جهات'!J360,"")</f>
        <v>1378</v>
      </c>
      <c r="J317" s="167">
        <f t="shared" si="63"/>
        <v>0.25636000000000003</v>
      </c>
      <c r="K317" s="168">
        <f t="shared" si="64"/>
        <v>2.1528384279475982E-4</v>
      </c>
    </row>
    <row r="318" spans="2:11" x14ac:dyDescent="0.2">
      <c r="B318" s="347"/>
      <c r="C318" s="346" t="s">
        <v>21</v>
      </c>
      <c r="D318" s="346"/>
      <c r="E318" s="346"/>
      <c r="F318" s="60">
        <f>SUM(F316:F317)</f>
        <v>50000</v>
      </c>
      <c r="G318" s="60">
        <f t="shared" ref="G318:I318" si="72">SUM(G316:G317)</f>
        <v>50000</v>
      </c>
      <c r="H318" s="60">
        <f>SUM(H316:H317)</f>
        <v>7690.8</v>
      </c>
      <c r="I318" s="60">
        <f t="shared" si="72"/>
        <v>6058</v>
      </c>
      <c r="J318" s="167">
        <f t="shared" si="63"/>
        <v>0.15381600000000001</v>
      </c>
      <c r="K318" s="168">
        <f t="shared" si="64"/>
        <v>2.1528384279475982E-4</v>
      </c>
    </row>
    <row r="319" spans="2:11" x14ac:dyDescent="0.2">
      <c r="B319" s="321" t="s">
        <v>300</v>
      </c>
      <c r="C319" s="321"/>
      <c r="D319" s="321"/>
      <c r="E319" s="321"/>
      <c r="F319" s="61">
        <f>F306+F314+F318</f>
        <v>200000</v>
      </c>
      <c r="G319" s="61">
        <f t="shared" ref="G319:I319" si="73">G306+G314+G318</f>
        <v>200000</v>
      </c>
      <c r="H319" s="61">
        <f t="shared" si="73"/>
        <v>10533.7</v>
      </c>
      <c r="I319" s="61">
        <f t="shared" si="73"/>
        <v>8175</v>
      </c>
      <c r="J319" s="167">
        <f t="shared" si="63"/>
        <v>5.2668500000000007E-2</v>
      </c>
      <c r="K319" s="168">
        <f t="shared" si="64"/>
        <v>2.9486339715597361E-4</v>
      </c>
    </row>
    <row r="320" spans="2:11" x14ac:dyDescent="0.2">
      <c r="B320" s="334" t="s">
        <v>259</v>
      </c>
      <c r="C320" s="334"/>
      <c r="D320" s="334"/>
      <c r="E320" s="334"/>
      <c r="F320" s="334"/>
      <c r="G320" s="334"/>
      <c r="H320" s="334"/>
      <c r="I320" s="334"/>
      <c r="J320" s="334"/>
      <c r="K320" s="334"/>
    </row>
    <row r="321" spans="2:11" x14ac:dyDescent="0.2">
      <c r="B321" s="347">
        <v>65</v>
      </c>
      <c r="C321" s="348" t="s">
        <v>245</v>
      </c>
      <c r="D321" s="348"/>
      <c r="E321" s="348"/>
      <c r="F321" s="348"/>
      <c r="G321" s="348"/>
      <c r="H321" s="348"/>
      <c r="I321" s="348"/>
      <c r="J321" s="348"/>
      <c r="K321" s="348"/>
    </row>
    <row r="322" spans="2:11" x14ac:dyDescent="0.2">
      <c r="B322" s="347"/>
      <c r="C322" s="345">
        <v>1</v>
      </c>
      <c r="D322" s="23">
        <v>26501001</v>
      </c>
      <c r="E322" s="80" t="s">
        <v>10</v>
      </c>
      <c r="F322" s="8">
        <f>IF(' جهات'!G321&gt;0,' جهات'!G321,"")</f>
        <v>150000</v>
      </c>
      <c r="G322" s="8">
        <f>IF(' جهات'!H321&gt;0,' جهات'!H321,"")</f>
        <v>150000</v>
      </c>
      <c r="H322" s="177" t="str">
        <f>IF(' جهات'!I321&gt;0,' جهات'!I321,"")</f>
        <v/>
      </c>
      <c r="I322" s="8">
        <f>IF(' جهات'!J321&gt;0,' جهات'!J321,"")</f>
        <v>120879.181</v>
      </c>
      <c r="J322" s="167" t="str">
        <f t="shared" si="63"/>
        <v/>
      </c>
      <c r="K322" s="168" t="str">
        <f t="shared" si="64"/>
        <v/>
      </c>
    </row>
    <row r="323" spans="2:11" x14ac:dyDescent="0.2">
      <c r="B323" s="347"/>
      <c r="C323" s="345"/>
      <c r="D323" s="23">
        <v>26501002</v>
      </c>
      <c r="E323" s="80" t="s">
        <v>11</v>
      </c>
      <c r="F323" s="8">
        <f>IF(' جهات'!G322&gt;0,' جهات'!G322,"")</f>
        <v>150000</v>
      </c>
      <c r="G323" s="8">
        <f>IF(' جهات'!H322&gt;0,' جهات'!H322,"")</f>
        <v>150000</v>
      </c>
      <c r="H323" s="177" t="str">
        <f>IF(' جهات'!I322&gt;0,' جهات'!I322,"")</f>
        <v/>
      </c>
      <c r="I323" s="8">
        <f>IF(' جهات'!J322&gt;0,' جهات'!J322,"")</f>
        <v>2381.0070000000001</v>
      </c>
      <c r="J323" s="167" t="str">
        <f t="shared" si="63"/>
        <v/>
      </c>
      <c r="K323" s="168" t="str">
        <f t="shared" si="64"/>
        <v/>
      </c>
    </row>
    <row r="324" spans="2:11" x14ac:dyDescent="0.2">
      <c r="B324" s="347"/>
      <c r="C324" s="346" t="s">
        <v>21</v>
      </c>
      <c r="D324" s="346"/>
      <c r="E324" s="346"/>
      <c r="F324" s="60">
        <f>SUM(F322:F323)</f>
        <v>300000</v>
      </c>
      <c r="G324" s="60">
        <f>SUM(G322:G323)</f>
        <v>300000</v>
      </c>
      <c r="H324" s="60">
        <f>SUM(H322:H323)</f>
        <v>0</v>
      </c>
      <c r="I324" s="60">
        <f>SUM(I322:I323)</f>
        <v>123260.18799999999</v>
      </c>
      <c r="J324" s="167">
        <f t="shared" si="63"/>
        <v>0</v>
      </c>
      <c r="K324" s="168">
        <f t="shared" si="64"/>
        <v>0</v>
      </c>
    </row>
    <row r="325" spans="2:11" s="37" customFormat="1" x14ac:dyDescent="0.2">
      <c r="B325" s="347"/>
      <c r="C325" s="348" t="s">
        <v>444</v>
      </c>
      <c r="D325" s="348"/>
      <c r="E325" s="348"/>
      <c r="F325" s="348"/>
      <c r="G325" s="348"/>
      <c r="H325" s="348"/>
      <c r="I325" s="348"/>
      <c r="J325" s="348"/>
      <c r="K325" s="348"/>
    </row>
    <row r="326" spans="2:11" s="37" customFormat="1" x14ac:dyDescent="0.2">
      <c r="B326" s="347"/>
      <c r="C326" s="171">
        <v>5</v>
      </c>
      <c r="D326" s="23">
        <v>26505001</v>
      </c>
      <c r="E326" s="80" t="s">
        <v>468</v>
      </c>
      <c r="F326" s="8">
        <f>IF(' جهات'!G323&gt;0,' جهات'!G323,"")</f>
        <v>15000</v>
      </c>
      <c r="G326" s="8">
        <f>IF(' جهات'!H323&gt;0,' جهات'!H323,"")</f>
        <v>15000</v>
      </c>
      <c r="H326" s="177">
        <f>IF(' جهات'!I323&gt;0,' جهات'!I323,"")</f>
        <v>603.20000000000005</v>
      </c>
      <c r="I326" s="8">
        <f>IF(' جهات'!J323&gt;0,' جهات'!J323,"")</f>
        <v>7000</v>
      </c>
      <c r="J326" s="167">
        <f t="shared" si="63"/>
        <v>4.0213333333333337E-2</v>
      </c>
      <c r="K326" s="168">
        <f t="shared" si="64"/>
        <v>1.6885007278020378E-5</v>
      </c>
    </row>
    <row r="327" spans="2:11" s="37" customFormat="1" x14ac:dyDescent="0.2">
      <c r="B327" s="347"/>
      <c r="C327" s="346" t="s">
        <v>21</v>
      </c>
      <c r="D327" s="346"/>
      <c r="E327" s="346"/>
      <c r="F327" s="60">
        <f>SUM(F326:F326)</f>
        <v>15000</v>
      </c>
      <c r="G327" s="60">
        <f t="shared" ref="G327:I327" si="74">SUM(G326:G326)</f>
        <v>15000</v>
      </c>
      <c r="H327" s="60">
        <f t="shared" si="74"/>
        <v>603.20000000000005</v>
      </c>
      <c r="I327" s="60">
        <f t="shared" si="74"/>
        <v>7000</v>
      </c>
      <c r="J327" s="167">
        <f t="shared" si="63"/>
        <v>4.0213333333333337E-2</v>
      </c>
      <c r="K327" s="168">
        <f t="shared" si="64"/>
        <v>1.6885007278020378E-5</v>
      </c>
    </row>
    <row r="328" spans="2:11" x14ac:dyDescent="0.2">
      <c r="B328" s="321" t="s">
        <v>258</v>
      </c>
      <c r="C328" s="321"/>
      <c r="D328" s="321"/>
      <c r="E328" s="321"/>
      <c r="F328" s="61">
        <f>F324+F327</f>
        <v>315000</v>
      </c>
      <c r="G328" s="61">
        <f t="shared" ref="G328:I328" si="75">G324+G327</f>
        <v>315000</v>
      </c>
      <c r="H328" s="61">
        <f t="shared" si="75"/>
        <v>603.20000000000005</v>
      </c>
      <c r="I328" s="61">
        <f t="shared" si="75"/>
        <v>130260.18799999999</v>
      </c>
      <c r="J328" s="167">
        <f t="shared" ref="J328:J351" si="76">IFERROR(H328/G328,"")</f>
        <v>1.914920634920635E-3</v>
      </c>
      <c r="K328" s="168">
        <f t="shared" ref="K328:K351" si="77">IFERROR(H328/$G$351,"")</f>
        <v>1.6885007278020378E-5</v>
      </c>
    </row>
    <row r="329" spans="2:11" x14ac:dyDescent="0.2">
      <c r="B329" s="334" t="s">
        <v>401</v>
      </c>
      <c r="C329" s="334"/>
      <c r="D329" s="334"/>
      <c r="E329" s="334"/>
      <c r="F329" s="334"/>
      <c r="G329" s="334"/>
      <c r="H329" s="334"/>
      <c r="I329" s="334"/>
      <c r="J329" s="334"/>
      <c r="K329" s="334"/>
    </row>
    <row r="330" spans="2:11" x14ac:dyDescent="0.2">
      <c r="B330" s="347">
        <v>66</v>
      </c>
      <c r="C330" s="348" t="s">
        <v>13</v>
      </c>
      <c r="D330" s="348"/>
      <c r="E330" s="348"/>
      <c r="F330" s="348"/>
      <c r="G330" s="348"/>
      <c r="H330" s="348"/>
      <c r="I330" s="348"/>
      <c r="J330" s="348"/>
      <c r="K330" s="348"/>
    </row>
    <row r="331" spans="2:11" ht="14.25" customHeight="1" x14ac:dyDescent="0.2">
      <c r="B331" s="347"/>
      <c r="C331" s="171">
        <v>1</v>
      </c>
      <c r="D331" s="23">
        <v>26601068</v>
      </c>
      <c r="E331" s="80" t="s">
        <v>430</v>
      </c>
      <c r="F331" s="8">
        <f>IF(' جهات'!G324&gt;0,' جهات'!G324,"")</f>
        <v>50000</v>
      </c>
      <c r="G331" s="8">
        <f>IF(' جهات'!H324&gt;0,' جهات'!H324,"")</f>
        <v>10000</v>
      </c>
      <c r="H331" s="177" t="str">
        <f>IF(' جهات'!I324&gt;0,' جهات'!I324,"")</f>
        <v/>
      </c>
      <c r="I331" s="8" t="str">
        <f>IF(' جهات'!J324&gt;0,' جهات'!J324,"")</f>
        <v/>
      </c>
      <c r="J331" s="167" t="str">
        <f t="shared" si="76"/>
        <v/>
      </c>
      <c r="K331" s="168" t="str">
        <f t="shared" si="77"/>
        <v/>
      </c>
    </row>
    <row r="332" spans="2:11" x14ac:dyDescent="0.2">
      <c r="B332" s="347"/>
      <c r="C332" s="346" t="s">
        <v>21</v>
      </c>
      <c r="D332" s="346"/>
      <c r="E332" s="346"/>
      <c r="F332" s="60">
        <f>SUM(F331:F331)</f>
        <v>50000</v>
      </c>
      <c r="G332" s="60">
        <f>SUM(G331:G331)</f>
        <v>10000</v>
      </c>
      <c r="H332" s="60">
        <f>SUM(H331:H331)</f>
        <v>0</v>
      </c>
      <c r="I332" s="60">
        <f>SUM(I331:I331)</f>
        <v>0</v>
      </c>
      <c r="J332" s="167">
        <f t="shared" si="76"/>
        <v>0</v>
      </c>
      <c r="K332" s="168">
        <f t="shared" si="77"/>
        <v>0</v>
      </c>
    </row>
    <row r="333" spans="2:11" x14ac:dyDescent="0.2">
      <c r="B333" s="347"/>
      <c r="C333" s="348" t="s">
        <v>14</v>
      </c>
      <c r="D333" s="348"/>
      <c r="E333" s="348"/>
      <c r="F333" s="348"/>
      <c r="G333" s="348"/>
      <c r="H333" s="348"/>
      <c r="I333" s="348"/>
      <c r="J333" s="348"/>
      <c r="K333" s="348"/>
    </row>
    <row r="334" spans="2:11" ht="15" customHeight="1" x14ac:dyDescent="0.2">
      <c r="B334" s="347"/>
      <c r="C334" s="345">
        <v>2</v>
      </c>
      <c r="D334" s="23">
        <v>26602001</v>
      </c>
      <c r="E334" s="80" t="s">
        <v>12</v>
      </c>
      <c r="F334" s="8">
        <f>IF(' جهات'!G303&gt;0,' جهات'!G303,"")</f>
        <v>150000</v>
      </c>
      <c r="G334" s="8">
        <f>IF(' جهات'!H303&gt;0,' جهات'!H303,"")</f>
        <v>225000</v>
      </c>
      <c r="H334" s="177">
        <f>IF(' جهات'!I303&gt;0,' جهات'!I303,"")</f>
        <v>154666</v>
      </c>
      <c r="I334" s="8">
        <f>IF(' جهات'!J303&gt;0,' جهات'!J303,"")</f>
        <v>57034</v>
      </c>
      <c r="J334" s="167">
        <f t="shared" si="76"/>
        <v>0.68740444444444448</v>
      </c>
      <c r="K334" s="168">
        <f t="shared" si="77"/>
        <v>4.3294703840555367E-3</v>
      </c>
    </row>
    <row r="335" spans="2:11" ht="15" customHeight="1" x14ac:dyDescent="0.2">
      <c r="B335" s="347"/>
      <c r="C335" s="345"/>
      <c r="D335" s="23">
        <v>26602004</v>
      </c>
      <c r="E335" s="80" t="s">
        <v>462</v>
      </c>
      <c r="F335" s="8">
        <f>IF(' جهات'!G304&gt;0,' جهات'!G304,"")</f>
        <v>10000</v>
      </c>
      <c r="G335" s="8">
        <f>IF(' جهات'!H304&gt;0,' جهات'!H304,"")</f>
        <v>10000</v>
      </c>
      <c r="H335" s="177">
        <f>IF(' جهات'!I304&gt;0,' جهات'!I304,"")</f>
        <v>4284.6499999999996</v>
      </c>
      <c r="I335" s="8" t="str">
        <f>IF(' جهات'!J304&gt;0,' جهات'!J304,"")</f>
        <v/>
      </c>
      <c r="J335" s="167">
        <f t="shared" si="76"/>
        <v>0.42846499999999998</v>
      </c>
      <c r="K335" s="168">
        <f t="shared" si="77"/>
        <v>1.1993757697906168E-4</v>
      </c>
    </row>
    <row r="336" spans="2:11" ht="15" customHeight="1" x14ac:dyDescent="0.2">
      <c r="B336" s="347"/>
      <c r="C336" s="345"/>
      <c r="D336" s="23">
        <v>26602005</v>
      </c>
      <c r="E336" s="80" t="s">
        <v>463</v>
      </c>
      <c r="F336" s="8">
        <f>IF(' جهات'!G305&gt;0,' جهات'!G305,"")</f>
        <v>10000</v>
      </c>
      <c r="G336" s="8">
        <f>IF(' جهات'!H305&gt;0,' جهات'!H305,"")</f>
        <v>10000</v>
      </c>
      <c r="H336" s="177" t="str">
        <f>IF(' جهات'!I305&gt;0,' جهات'!I305,"")</f>
        <v/>
      </c>
      <c r="I336" s="8" t="str">
        <f>IF(' جهات'!J305&gt;0,' جهات'!J305,"")</f>
        <v/>
      </c>
      <c r="J336" s="167" t="str">
        <f t="shared" si="76"/>
        <v/>
      </c>
      <c r="K336" s="168" t="str">
        <f t="shared" si="77"/>
        <v/>
      </c>
    </row>
    <row r="337" spans="2:13" ht="15" customHeight="1" x14ac:dyDescent="0.2">
      <c r="B337" s="347"/>
      <c r="C337" s="345"/>
      <c r="D337" s="23">
        <v>26602006</v>
      </c>
      <c r="E337" s="80" t="s">
        <v>464</v>
      </c>
      <c r="F337" s="8">
        <f>IF(' جهات'!G306&gt;0,' جهات'!G306,"")</f>
        <v>20000</v>
      </c>
      <c r="G337" s="8">
        <f>IF(' جهات'!H306&gt;0,' جهات'!H306,"")</f>
        <v>20000</v>
      </c>
      <c r="H337" s="177">
        <f>IF(' جهات'!I306&gt;0,' جهات'!I306,"")</f>
        <v>800</v>
      </c>
      <c r="I337" s="8" t="str">
        <f>IF(' جهات'!J306&gt;0,' جهات'!J306,"")</f>
        <v/>
      </c>
      <c r="J337" s="167">
        <f t="shared" si="76"/>
        <v>0.04</v>
      </c>
      <c r="K337" s="168">
        <f t="shared" si="77"/>
        <v>2.2393908856790954E-5</v>
      </c>
    </row>
    <row r="338" spans="2:13" ht="15" customHeight="1" x14ac:dyDescent="0.2">
      <c r="B338" s="347"/>
      <c r="C338" s="345"/>
      <c r="D338" s="23">
        <v>26602007</v>
      </c>
      <c r="E338" s="80" t="s">
        <v>465</v>
      </c>
      <c r="F338" s="8">
        <f>IF(' جهات'!G307&gt;0,' جهات'!G307,"")</f>
        <v>5000</v>
      </c>
      <c r="G338" s="8">
        <f>IF(' جهات'!H307&gt;0,' جهات'!H307,"")</f>
        <v>5000</v>
      </c>
      <c r="H338" s="177">
        <f>IF(' جهات'!I307&gt;0,' جهات'!I307,"")</f>
        <v>2989.65</v>
      </c>
      <c r="I338" s="8" t="str">
        <f>IF(' جهات'!J307&gt;0,' جهات'!J307,"")</f>
        <v/>
      </c>
      <c r="J338" s="167">
        <f t="shared" si="76"/>
        <v>0.59793000000000007</v>
      </c>
      <c r="K338" s="168">
        <f t="shared" si="77"/>
        <v>8.3687437017131345E-5</v>
      </c>
    </row>
    <row r="339" spans="2:13" s="37" customFormat="1" ht="15" customHeight="1" x14ac:dyDescent="0.2">
      <c r="B339" s="347"/>
      <c r="C339" s="345"/>
      <c r="D339" s="23">
        <v>26602008</v>
      </c>
      <c r="E339" s="80" t="s">
        <v>487</v>
      </c>
      <c r="F339" s="43">
        <f>IF(' جهات'!G308&gt;0,' جهات'!G308,"")</f>
        <v>30000</v>
      </c>
      <c r="G339" s="43">
        <f>IF(' جهات'!H308&gt;0,' جهات'!H308,"")</f>
        <v>20000</v>
      </c>
      <c r="H339" s="177" t="str">
        <f>IF(' جهات'!I308&gt;0,' جهات'!I308,"")</f>
        <v/>
      </c>
      <c r="I339" s="43" t="str">
        <f>IF(' جهات'!J308&gt;0,' جهات'!J308,"")</f>
        <v/>
      </c>
      <c r="J339" s="167" t="str">
        <f t="shared" si="76"/>
        <v/>
      </c>
      <c r="K339" s="168" t="str">
        <f t="shared" si="77"/>
        <v/>
      </c>
    </row>
    <row r="340" spans="2:13" x14ac:dyDescent="0.2">
      <c r="B340" s="347"/>
      <c r="C340" s="346" t="s">
        <v>21</v>
      </c>
      <c r="D340" s="346"/>
      <c r="E340" s="346"/>
      <c r="F340" s="60">
        <f t="shared" ref="F340:I340" si="78">SUM(F334:F339)</f>
        <v>225000</v>
      </c>
      <c r="G340" s="60">
        <f t="shared" si="78"/>
        <v>290000</v>
      </c>
      <c r="H340" s="60">
        <f t="shared" si="78"/>
        <v>162740.29999999999</v>
      </c>
      <c r="I340" s="60">
        <f t="shared" si="78"/>
        <v>57034</v>
      </c>
      <c r="J340" s="167">
        <f t="shared" si="76"/>
        <v>0.56117344827586202</v>
      </c>
      <c r="K340" s="168">
        <f t="shared" si="77"/>
        <v>4.5554893069085205E-3</v>
      </c>
    </row>
    <row r="341" spans="2:13" x14ac:dyDescent="0.2">
      <c r="B341" s="347"/>
      <c r="C341" s="348" t="s">
        <v>314</v>
      </c>
      <c r="D341" s="348"/>
      <c r="E341" s="348"/>
      <c r="F341" s="348"/>
      <c r="G341" s="348"/>
      <c r="H341" s="348"/>
      <c r="I341" s="348"/>
      <c r="J341" s="348"/>
      <c r="K341" s="348"/>
    </row>
    <row r="342" spans="2:13" x14ac:dyDescent="0.2">
      <c r="B342" s="347"/>
      <c r="C342" s="171"/>
      <c r="D342" s="23">
        <v>26603002</v>
      </c>
      <c r="E342" s="80" t="s">
        <v>469</v>
      </c>
      <c r="F342" s="8">
        <f>IF(' جهات'!G325&gt;0,' جهات'!G325,"")</f>
        <v>40000</v>
      </c>
      <c r="G342" s="8">
        <f>IF(' جهات'!H325&gt;0,' جهات'!H325,"")</f>
        <v>15000</v>
      </c>
      <c r="H342" s="177" t="str">
        <f>IF(' جهات'!I325&gt;0,' جهات'!I325,"")</f>
        <v/>
      </c>
      <c r="I342" s="8" t="str">
        <f>IF(' جهات'!J325&gt;0,' جهات'!J325,"")</f>
        <v/>
      </c>
      <c r="J342" s="167" t="str">
        <f t="shared" si="76"/>
        <v/>
      </c>
      <c r="K342" s="168" t="str">
        <f t="shared" si="77"/>
        <v/>
      </c>
    </row>
    <row r="343" spans="2:13" x14ac:dyDescent="0.2">
      <c r="B343" s="347"/>
      <c r="C343" s="346" t="s">
        <v>21</v>
      </c>
      <c r="D343" s="346"/>
      <c r="E343" s="346"/>
      <c r="F343" s="60">
        <f t="shared" ref="F343:I343" si="79">SUM(F342:F342)</f>
        <v>40000</v>
      </c>
      <c r="G343" s="60">
        <f t="shared" si="79"/>
        <v>15000</v>
      </c>
      <c r="H343" s="60">
        <f t="shared" si="79"/>
        <v>0</v>
      </c>
      <c r="I343" s="60">
        <f t="shared" si="79"/>
        <v>0</v>
      </c>
      <c r="J343" s="167">
        <f t="shared" si="76"/>
        <v>0</v>
      </c>
      <c r="K343" s="168">
        <f t="shared" si="77"/>
        <v>0</v>
      </c>
    </row>
    <row r="344" spans="2:13" x14ac:dyDescent="0.2">
      <c r="B344" s="321" t="s">
        <v>400</v>
      </c>
      <c r="C344" s="321"/>
      <c r="D344" s="321"/>
      <c r="E344" s="321"/>
      <c r="F344" s="61">
        <f>F332+F340+F343</f>
        <v>315000</v>
      </c>
      <c r="G344" s="61">
        <f t="shared" ref="G344:I344" si="80">G332+G340+G343</f>
        <v>315000</v>
      </c>
      <c r="H344" s="61">
        <f t="shared" si="80"/>
        <v>162740.29999999999</v>
      </c>
      <c r="I344" s="61">
        <f t="shared" si="80"/>
        <v>57034</v>
      </c>
      <c r="J344" s="167">
        <f t="shared" si="76"/>
        <v>0.51663587301587299</v>
      </c>
      <c r="K344" s="168">
        <f t="shared" si="77"/>
        <v>4.5554893069085205E-3</v>
      </c>
    </row>
    <row r="345" spans="2:13" x14ac:dyDescent="0.2">
      <c r="B345" s="334" t="s">
        <v>261</v>
      </c>
      <c r="C345" s="334"/>
      <c r="D345" s="334"/>
      <c r="E345" s="334"/>
      <c r="F345" s="334"/>
      <c r="G345" s="334"/>
      <c r="H345" s="334"/>
      <c r="I345" s="334"/>
      <c r="J345" s="334"/>
      <c r="K345" s="334"/>
    </row>
    <row r="346" spans="2:13" x14ac:dyDescent="0.2">
      <c r="B346" s="347">
        <v>70</v>
      </c>
      <c r="C346" s="346" t="s">
        <v>262</v>
      </c>
      <c r="D346" s="346"/>
      <c r="E346" s="346"/>
      <c r="F346" s="346"/>
      <c r="G346" s="346"/>
      <c r="H346" s="346"/>
      <c r="I346" s="346"/>
      <c r="J346" s="346"/>
      <c r="K346" s="346"/>
    </row>
    <row r="347" spans="2:13" ht="14.25" customHeight="1" x14ac:dyDescent="0.2">
      <c r="B347" s="347"/>
      <c r="C347" s="171">
        <v>1</v>
      </c>
      <c r="D347" s="22">
        <v>27001001</v>
      </c>
      <c r="E347" s="40" t="s">
        <v>421</v>
      </c>
      <c r="F347" s="8">
        <f>IF(' جهات'!G435&gt;0,' جهات'!G435,"")</f>
        <v>884000</v>
      </c>
      <c r="G347" s="8">
        <f>IF(' جهات'!H435&gt;0,' جهات'!H435,"")</f>
        <v>884000</v>
      </c>
      <c r="H347" s="177">
        <f>IF(' جهات'!I435&gt;0,' جهات'!I435,"")</f>
        <v>64707.563000000002</v>
      </c>
      <c r="I347" s="8">
        <f>IF(' جهات'!J435&gt;0,' جهات'!J435,"")</f>
        <v>582664.179</v>
      </c>
      <c r="J347" s="167">
        <f t="shared" si="76"/>
        <v>7.3198600678733031E-2</v>
      </c>
      <c r="K347" s="168">
        <f t="shared" si="77"/>
        <v>1.8113190852088233E-3</v>
      </c>
    </row>
    <row r="348" spans="2:13" x14ac:dyDescent="0.2">
      <c r="B348" s="347"/>
      <c r="C348" s="346" t="s">
        <v>21</v>
      </c>
      <c r="D348" s="346"/>
      <c r="E348" s="346"/>
      <c r="F348" s="60">
        <f>SUM(F347)</f>
        <v>884000</v>
      </c>
      <c r="G348" s="60">
        <f t="shared" ref="G348:I348" si="81">SUM(G347)</f>
        <v>884000</v>
      </c>
      <c r="H348" s="60">
        <f t="shared" si="81"/>
        <v>64707.563000000002</v>
      </c>
      <c r="I348" s="60">
        <f t="shared" si="81"/>
        <v>582664.179</v>
      </c>
      <c r="J348" s="167">
        <f t="shared" si="76"/>
        <v>7.3198600678733031E-2</v>
      </c>
      <c r="K348" s="168">
        <f t="shared" si="77"/>
        <v>1.8113190852088233E-3</v>
      </c>
    </row>
    <row r="349" spans="2:13" x14ac:dyDescent="0.2">
      <c r="B349" s="321" t="s">
        <v>260</v>
      </c>
      <c r="C349" s="321"/>
      <c r="D349" s="321"/>
      <c r="E349" s="321"/>
      <c r="F349" s="61">
        <f>F348</f>
        <v>884000</v>
      </c>
      <c r="G349" s="61">
        <f t="shared" ref="G349:I349" si="82">G348</f>
        <v>884000</v>
      </c>
      <c r="H349" s="61">
        <f t="shared" si="82"/>
        <v>64707.563000000002</v>
      </c>
      <c r="I349" s="61">
        <f t="shared" si="82"/>
        <v>582664.179</v>
      </c>
      <c r="J349" s="167">
        <f t="shared" si="76"/>
        <v>7.3198600678733031E-2</v>
      </c>
      <c r="K349" s="168">
        <f t="shared" si="77"/>
        <v>1.8113190852088233E-3</v>
      </c>
    </row>
    <row r="350" spans="2:13" x14ac:dyDescent="0.2">
      <c r="B350" s="339" t="s">
        <v>142</v>
      </c>
      <c r="C350" s="339"/>
      <c r="D350" s="339"/>
      <c r="E350" s="339"/>
      <c r="F350" s="54">
        <f>F281+F301+F319+F328+F344+F349</f>
        <v>2193500</v>
      </c>
      <c r="G350" s="54">
        <f>G281+G301+G319+G328+G344+G349</f>
        <v>2193500</v>
      </c>
      <c r="H350" s="54">
        <f>H281+H301+H319+H328+H344+H349</f>
        <v>315434.163</v>
      </c>
      <c r="I350" s="54">
        <f>I281+I301+I319+I328+I344+I349</f>
        <v>930605.01699999999</v>
      </c>
      <c r="J350" s="167">
        <f t="shared" si="76"/>
        <v>0.14380404057442445</v>
      </c>
      <c r="K350" s="168">
        <f t="shared" si="77"/>
        <v>8.8297548706751765E-3</v>
      </c>
    </row>
    <row r="351" spans="2:13" x14ac:dyDescent="0.2">
      <c r="B351" s="342" t="s">
        <v>524</v>
      </c>
      <c r="C351" s="342"/>
      <c r="D351" s="342"/>
      <c r="E351" s="342"/>
      <c r="F351" s="81">
        <f>F197+F258+F268+F350</f>
        <v>35724000</v>
      </c>
      <c r="G351" s="81">
        <f>G197+G258+G268+G350</f>
        <v>35724000</v>
      </c>
      <c r="H351" s="81">
        <f>H197+H258+H268+H350</f>
        <v>27676612.609000001</v>
      </c>
      <c r="I351" s="81">
        <f>I197+I258+I268+I350</f>
        <v>2902086.4960000003</v>
      </c>
      <c r="J351" s="167">
        <f t="shared" si="76"/>
        <v>0.77473442528832159</v>
      </c>
      <c r="K351" s="168">
        <f t="shared" si="77"/>
        <v>0.77473442528832159</v>
      </c>
      <c r="L351" s="21"/>
      <c r="M351" s="21"/>
    </row>
    <row r="352" spans="2:13" s="37" customFormat="1" x14ac:dyDescent="0.2">
      <c r="B352" s="133"/>
      <c r="C352" s="133"/>
      <c r="D352" s="133"/>
      <c r="E352" s="133"/>
      <c r="F352" s="134">
        <f>F351-' جهات'!G438</f>
        <v>0</v>
      </c>
      <c r="G352" s="134">
        <f>G351-' جهات'!H438</f>
        <v>0</v>
      </c>
      <c r="H352" s="134">
        <f>H351-' جهات'!I438</f>
        <v>0</v>
      </c>
      <c r="I352" s="134">
        <f>I351-' جهات'!J438</f>
        <v>0</v>
      </c>
      <c r="J352" s="205"/>
      <c r="K352" s="205"/>
    </row>
    <row r="353" spans="2:11" s="37" customFormat="1" x14ac:dyDescent="0.2">
      <c r="B353" s="359"/>
      <c r="C353" s="359"/>
      <c r="D353" s="359"/>
      <c r="E353" s="359"/>
      <c r="F353" s="359"/>
      <c r="G353" s="359"/>
      <c r="H353" s="359"/>
      <c r="I353" s="359"/>
      <c r="J353" s="359"/>
      <c r="K353" s="359"/>
    </row>
    <row r="354" spans="2:11" s="37" customFormat="1" x14ac:dyDescent="0.2">
      <c r="B354" s="315" t="s">
        <v>516</v>
      </c>
      <c r="C354" s="315"/>
      <c r="D354" s="315"/>
      <c r="E354" s="315"/>
      <c r="F354" s="328">
        <v>2020</v>
      </c>
      <c r="G354" s="328"/>
      <c r="H354" s="328"/>
      <c r="I354" s="328"/>
      <c r="J354" s="328"/>
      <c r="K354" s="328"/>
    </row>
    <row r="355" spans="2:11" x14ac:dyDescent="0.2">
      <c r="B355" s="309" t="s">
        <v>534</v>
      </c>
      <c r="C355" s="309"/>
      <c r="D355" s="309"/>
      <c r="E355" s="309"/>
      <c r="F355" s="309"/>
      <c r="G355" s="309"/>
      <c r="H355" s="309"/>
      <c r="I355" s="309"/>
      <c r="J355" s="309"/>
      <c r="K355" s="309"/>
    </row>
    <row r="356" spans="2:11" x14ac:dyDescent="0.2">
      <c r="B356" s="338" t="s">
        <v>566</v>
      </c>
      <c r="C356" s="338"/>
      <c r="D356" s="338"/>
      <c r="E356" s="338"/>
      <c r="F356" s="338"/>
      <c r="G356" s="338"/>
      <c r="H356" s="338"/>
      <c r="I356" s="338"/>
      <c r="J356" s="338"/>
      <c r="K356" s="338"/>
    </row>
    <row r="357" spans="2:11" s="37" customFormat="1" x14ac:dyDescent="0.2">
      <c r="B357" s="353"/>
      <c r="C357" s="348" t="s">
        <v>566</v>
      </c>
      <c r="D357" s="348"/>
      <c r="E357" s="348"/>
      <c r="F357" s="348"/>
      <c r="G357" s="348"/>
      <c r="H357" s="348"/>
      <c r="I357" s="348"/>
      <c r="J357" s="348"/>
      <c r="K357" s="348"/>
    </row>
    <row r="358" spans="2:11" s="37" customFormat="1" x14ac:dyDescent="0.2">
      <c r="B358" s="353"/>
      <c r="C358" s="345"/>
      <c r="D358" s="23">
        <v>27201001</v>
      </c>
      <c r="E358" s="140" t="str">
        <f>' جهات'!F442</f>
        <v>تسديد قرض صندوق الادخار/جامعة آل البيت (المستحق)</v>
      </c>
      <c r="F358" s="43">
        <f>IF(' جهات'!G442&gt;0,' جهات'!G442,"")</f>
        <v>1900000</v>
      </c>
      <c r="G358" s="43">
        <f>IF(' جهات'!H442&gt;0,' جهات'!H442,"")</f>
        <v>1900000</v>
      </c>
      <c r="H358" s="177" t="str">
        <f>IF(' جهات'!I442&gt;0,' جهات'!I442,"")</f>
        <v/>
      </c>
      <c r="I358" s="43" t="str">
        <f>IF(' جهات'!J442&gt;0,' جهات'!J442,"")</f>
        <v/>
      </c>
      <c r="J358" s="167" t="str">
        <f>IFERROR(H358/G358,"")</f>
        <v/>
      </c>
      <c r="K358" s="168" t="str">
        <f>IFERROR(H358/$G$363,"")</f>
        <v/>
      </c>
    </row>
    <row r="359" spans="2:11" s="37" customFormat="1" x14ac:dyDescent="0.2">
      <c r="B359" s="353"/>
      <c r="C359" s="345"/>
      <c r="D359" s="23">
        <v>27201002</v>
      </c>
      <c r="E359" s="140" t="str">
        <f>' جهات'!F443</f>
        <v>تسديد سلفة وزارة المالية</v>
      </c>
      <c r="F359" s="43">
        <f>IF(' جهات'!G443&gt;0,' جهات'!G443,"")</f>
        <v>500000</v>
      </c>
      <c r="G359" s="43">
        <f>IF(' جهات'!H443&gt;0,' جهات'!H443,"")</f>
        <v>500000</v>
      </c>
      <c r="H359" s="177" t="str">
        <f>IF(' جهات'!I443&gt;0,' جهات'!I443,"")</f>
        <v/>
      </c>
      <c r="I359" s="43" t="str">
        <f>IF(' جهات'!J443&gt;0,' جهات'!J443,"")</f>
        <v/>
      </c>
      <c r="J359" s="167" t="str">
        <f t="shared" ref="J359:J364" si="83">IFERROR(H359/G359,"")</f>
        <v/>
      </c>
      <c r="K359" s="168" t="str">
        <f t="shared" ref="K359:K363" si="84">IFERROR(H359/$G$363,"")</f>
        <v/>
      </c>
    </row>
    <row r="360" spans="2:11" s="37" customFormat="1" x14ac:dyDescent="0.2">
      <c r="B360" s="353"/>
      <c r="C360" s="345"/>
      <c r="D360" s="23">
        <v>28001001</v>
      </c>
      <c r="E360" s="140" t="str">
        <f>' جهات'!F444</f>
        <v>تسديد عجز موازنة السنة المالية الحالية</v>
      </c>
      <c r="F360" s="43">
        <f>IF(' جهات'!G444&gt;0,' جهات'!G444,"")</f>
        <v>5314000</v>
      </c>
      <c r="G360" s="43">
        <f>IF(' جهات'!H444&gt;0,' جهات'!H444,"")</f>
        <v>5314000</v>
      </c>
      <c r="H360" s="177">
        <f>IF(' جهات'!I444&gt;0,' جهات'!I444,"")</f>
        <v>107525.73000000417</v>
      </c>
      <c r="I360" s="43" t="str">
        <f>IF(' جهات'!J444&gt;0,' جهات'!J444,"")</f>
        <v/>
      </c>
      <c r="J360" s="167">
        <f t="shared" si="83"/>
        <v>2.0234424162590171E-2</v>
      </c>
      <c r="K360" s="168">
        <f t="shared" si="84"/>
        <v>4.6568094413167683E-3</v>
      </c>
    </row>
    <row r="361" spans="2:11" s="37" customFormat="1" x14ac:dyDescent="0.2">
      <c r="B361" s="353"/>
      <c r="C361" s="345"/>
      <c r="D361" s="23">
        <v>28101006</v>
      </c>
      <c r="E361" s="140" t="str">
        <f>' جهات'!F445</f>
        <v>تسديد ذمة عجز موازنة التمويل المتراكم</v>
      </c>
      <c r="F361" s="43">
        <f>IF(' جهات'!G445&gt;0,' جهات'!G445,"")</f>
        <v>15376000</v>
      </c>
      <c r="G361" s="43">
        <f>IF(' جهات'!H445&gt;0,' جهات'!H445,"")</f>
        <v>15376000</v>
      </c>
      <c r="H361" s="177">
        <f>IF(' جهات'!I445&gt;0,' جهات'!I445,"")</f>
        <v>15375481.875</v>
      </c>
      <c r="I361" s="43" t="str">
        <f>IF(' جهات'!J445&gt;0,' جهات'!J445,"")</f>
        <v/>
      </c>
      <c r="J361" s="167">
        <f t="shared" si="83"/>
        <v>0.99996630300468259</v>
      </c>
      <c r="K361" s="168">
        <f t="shared" si="84"/>
        <v>0.66589354157643998</v>
      </c>
    </row>
    <row r="362" spans="2:11" s="37" customFormat="1" ht="14.25" customHeight="1" x14ac:dyDescent="0.2">
      <c r="B362" s="321" t="s">
        <v>574</v>
      </c>
      <c r="C362" s="321"/>
      <c r="D362" s="321"/>
      <c r="E362" s="321"/>
      <c r="F362" s="61">
        <f>SUM(F358:F361)</f>
        <v>23090000</v>
      </c>
      <c r="G362" s="61">
        <f>SUM(G358:G361)</f>
        <v>23090000</v>
      </c>
      <c r="H362" s="61">
        <f>SUM(H358:H361)</f>
        <v>15483007.605000004</v>
      </c>
      <c r="I362" s="61">
        <f>SUM(I358:I361)</f>
        <v>0</v>
      </c>
      <c r="J362" s="167">
        <f t="shared" si="83"/>
        <v>0.67055035101775684</v>
      </c>
      <c r="K362" s="168">
        <f t="shared" si="84"/>
        <v>0.67055035101775684</v>
      </c>
    </row>
    <row r="363" spans="2:11" s="37" customFormat="1" x14ac:dyDescent="0.2">
      <c r="B363" s="337" t="s">
        <v>525</v>
      </c>
      <c r="C363" s="337"/>
      <c r="D363" s="337"/>
      <c r="E363" s="337"/>
      <c r="F363" s="64">
        <f>SUM(F362)</f>
        <v>23090000</v>
      </c>
      <c r="G363" s="64">
        <f t="shared" ref="G363:I363" si="85">SUM(G362)</f>
        <v>23090000</v>
      </c>
      <c r="H363" s="64">
        <f t="shared" si="85"/>
        <v>15483007.605000004</v>
      </c>
      <c r="I363" s="64">
        <f t="shared" si="85"/>
        <v>0</v>
      </c>
      <c r="J363" s="167">
        <f t="shared" si="83"/>
        <v>0.67055035101775684</v>
      </c>
      <c r="K363" s="168">
        <f t="shared" si="84"/>
        <v>0.67055035101775684</v>
      </c>
    </row>
    <row r="364" spans="2:11" s="37" customFormat="1" x14ac:dyDescent="0.2">
      <c r="B364" s="135"/>
      <c r="C364" s="135"/>
      <c r="D364" s="135"/>
      <c r="E364" s="135"/>
      <c r="F364" s="129">
        <f>F363-' جهات'!G446</f>
        <v>0</v>
      </c>
      <c r="G364" s="129">
        <f>G363-' جهات'!H446</f>
        <v>0</v>
      </c>
      <c r="H364" s="129">
        <f>H363-' جهات'!I446</f>
        <v>0</v>
      </c>
      <c r="I364" s="129">
        <f>I363-' جهات'!J446</f>
        <v>0</v>
      </c>
      <c r="J364" s="167" t="str">
        <f t="shared" si="83"/>
        <v/>
      </c>
      <c r="K364" s="168"/>
    </row>
    <row r="365" spans="2:11" s="1" customFormat="1" x14ac:dyDescent="0.2">
      <c r="B365" s="315"/>
      <c r="C365" s="315"/>
      <c r="D365" s="315"/>
      <c r="E365" s="315"/>
      <c r="F365" s="315"/>
      <c r="G365" s="315"/>
      <c r="H365" s="315"/>
      <c r="I365" s="315"/>
      <c r="J365" s="315"/>
      <c r="K365" s="315"/>
    </row>
    <row r="366" spans="2:11" x14ac:dyDescent="0.2">
      <c r="B366" s="315" t="s">
        <v>528</v>
      </c>
      <c r="C366" s="315"/>
      <c r="D366" s="315"/>
      <c r="E366" s="315"/>
      <c r="F366" s="328">
        <v>2020</v>
      </c>
      <c r="G366" s="328"/>
      <c r="H366" s="328"/>
      <c r="I366" s="328"/>
      <c r="J366" s="328"/>
      <c r="K366" s="328"/>
    </row>
    <row r="367" spans="2:11" s="37" customFormat="1" x14ac:dyDescent="0.2">
      <c r="B367" s="309" t="s">
        <v>560</v>
      </c>
      <c r="C367" s="309"/>
      <c r="D367" s="309"/>
      <c r="E367" s="309"/>
      <c r="F367" s="309"/>
      <c r="G367" s="309"/>
      <c r="H367" s="309"/>
      <c r="I367" s="309"/>
      <c r="J367" s="309"/>
      <c r="K367" s="309"/>
    </row>
    <row r="368" spans="2:11" x14ac:dyDescent="0.2">
      <c r="B368" s="338" t="s">
        <v>538</v>
      </c>
      <c r="C368" s="338"/>
      <c r="D368" s="338"/>
      <c r="E368" s="338"/>
      <c r="F368" s="338"/>
      <c r="G368" s="338"/>
      <c r="H368" s="338"/>
      <c r="I368" s="338"/>
      <c r="J368" s="338"/>
      <c r="K368" s="338"/>
    </row>
    <row r="369" spans="2:11" x14ac:dyDescent="0.2">
      <c r="B369" s="353">
        <v>93</v>
      </c>
      <c r="C369" s="348" t="s">
        <v>141</v>
      </c>
      <c r="D369" s="348"/>
      <c r="E369" s="348"/>
      <c r="F369" s="348"/>
      <c r="G369" s="348"/>
      <c r="H369" s="348"/>
      <c r="I369" s="348"/>
      <c r="J369" s="348"/>
      <c r="K369" s="348"/>
    </row>
    <row r="370" spans="2:11" x14ac:dyDescent="0.2">
      <c r="B370" s="353"/>
      <c r="C370" s="345">
        <v>1</v>
      </c>
      <c r="D370" s="141">
        <f>IF(' جهات'!E449&gt;0,' جهات'!E449,"")</f>
        <v>29301002</v>
      </c>
      <c r="E370" s="4" t="str">
        <f>' جهات'!F449</f>
        <v>مشروع بناء كلية الهندسة/ مشروطة بالتمويل</v>
      </c>
      <c r="F370" s="43">
        <f>IF(' جهات'!G449&gt;0,' جهات'!G449,"")</f>
        <v>500000</v>
      </c>
      <c r="G370" s="43">
        <f>IF(' جهات'!H449&gt;0,' جهات'!H449,"")</f>
        <v>500000</v>
      </c>
      <c r="H370" s="177" t="str">
        <f>IF(' جهات'!I449&gt;0,' جهات'!I449,"")</f>
        <v/>
      </c>
      <c r="I370" s="43">
        <f>IF(' جهات'!J449&gt;0,' جهات'!J449,"")</f>
        <v>261649.818</v>
      </c>
      <c r="J370" s="167" t="str">
        <f>IFERROR(H370/F370,"")</f>
        <v/>
      </c>
      <c r="K370" s="168" t="str">
        <f>IFERROR(H370/$F$389,"")</f>
        <v/>
      </c>
    </row>
    <row r="371" spans="2:11" s="37" customFormat="1" x14ac:dyDescent="0.2">
      <c r="B371" s="353"/>
      <c r="C371" s="345"/>
      <c r="D371" s="132">
        <f>IF(' جهات'!E450&gt;0,' جهات'!E450,"")</f>
        <v>29301006</v>
      </c>
      <c r="E371" s="4" t="str">
        <f>' جهات'!F450</f>
        <v>مشروع بناء ملحق كلية التمريض/ المرحلة الثانية/ مشروطة بالتمويل</v>
      </c>
      <c r="F371" s="43">
        <f>IF(' جهات'!G450&gt;0,' جهات'!G450,"")</f>
        <v>1500000</v>
      </c>
      <c r="G371" s="43">
        <f>IF(' جهات'!H450&gt;0,' جهات'!H450,"")</f>
        <v>1500000</v>
      </c>
      <c r="H371" s="177" t="str">
        <f>IF(' جهات'!I450&gt;0,' جهات'!I450,"")</f>
        <v/>
      </c>
      <c r="I371" s="43" t="str">
        <f>IF(' جهات'!J450&gt;0,' جهات'!J450,"")</f>
        <v/>
      </c>
      <c r="J371" s="167" t="str">
        <f t="shared" ref="J371:J389" si="86">IFERROR(H371/F371,"")</f>
        <v/>
      </c>
      <c r="K371" s="168" t="str">
        <f t="shared" ref="K371:K389" si="87">IFERROR(H371/$F$389,"")</f>
        <v/>
      </c>
    </row>
    <row r="372" spans="2:11" x14ac:dyDescent="0.2">
      <c r="B372" s="353"/>
      <c r="C372" s="345"/>
      <c r="D372" s="141">
        <f>IF(' جهات'!E451&gt;0,' جهات'!E451,"")</f>
        <v>29301019</v>
      </c>
      <c r="E372" s="4" t="str">
        <f>' جهات'!F451</f>
        <v>مشروع بناء كلية ادارة المال والاعمال/ مشروطة بالتمويل</v>
      </c>
      <c r="F372" s="43">
        <f>IF(' جهات'!G451&gt;0,' جهات'!G451,"")</f>
        <v>400000</v>
      </c>
      <c r="G372" s="43">
        <f>IF(' جهات'!H451&gt;0,' جهات'!H451,"")</f>
        <v>400000</v>
      </c>
      <c r="H372" s="177">
        <f>IF(' جهات'!I451&gt;0,' جهات'!I451,"")</f>
        <v>297425</v>
      </c>
      <c r="I372" s="43">
        <f>IF(' جهات'!J451&gt;0,' جهات'!J451,"")</f>
        <v>1558.116</v>
      </c>
      <c r="J372" s="167">
        <f t="shared" si="86"/>
        <v>0.74356250000000002</v>
      </c>
      <c r="K372" s="168">
        <f t="shared" si="87"/>
        <v>3.4991176470588234E-2</v>
      </c>
    </row>
    <row r="373" spans="2:11" x14ac:dyDescent="0.2">
      <c r="B373" s="353"/>
      <c r="C373" s="345"/>
      <c r="D373" s="141">
        <f>IF(' جهات'!E452&gt;0,' جهات'!E452,"")</f>
        <v>29301021</v>
      </c>
      <c r="E373" s="4" t="str">
        <f>' جهات'!F452</f>
        <v>مشروع انشاء كلية طب/ مشروطة بالتمويل</v>
      </c>
      <c r="F373" s="43">
        <f>IF(' جهات'!G452&gt;0,' جهات'!G452,"")</f>
        <v>1000000</v>
      </c>
      <c r="G373" s="43">
        <f>IF(' جهات'!H452&gt;0,' جهات'!H452,"")</f>
        <v>135000</v>
      </c>
      <c r="H373" s="177" t="str">
        <f>IF(' جهات'!I452&gt;0,' جهات'!I452,"")</f>
        <v/>
      </c>
      <c r="I373" s="43" t="str">
        <f>IF(' جهات'!J452&gt;0,' جهات'!J452,"")</f>
        <v/>
      </c>
      <c r="J373" s="167" t="str">
        <f t="shared" si="86"/>
        <v/>
      </c>
      <c r="K373" s="168" t="str">
        <f t="shared" si="87"/>
        <v/>
      </c>
    </row>
    <row r="374" spans="2:11" s="37" customFormat="1" x14ac:dyDescent="0.2">
      <c r="B374" s="353"/>
      <c r="C374" s="345"/>
      <c r="D374" s="141">
        <f>IF(' جهات'!E453&gt;0,' جهات'!E453,"")</f>
        <v>29301023</v>
      </c>
      <c r="E374" s="4" t="str">
        <f>' جهات'!F453</f>
        <v>مبنى مركز الحاسوب/ مشروطة بالتمويل</v>
      </c>
      <c r="F374" s="43">
        <f>IF(' جهات'!G453&gt;0,' جهات'!G453,"")</f>
        <v>75000</v>
      </c>
      <c r="G374" s="43">
        <f>IF(' جهات'!H453&gt;0,' جهات'!H453,"")</f>
        <v>75000</v>
      </c>
      <c r="H374" s="177" t="str">
        <f>IF(' جهات'!I453&gt;0,' جهات'!I453,"")</f>
        <v/>
      </c>
      <c r="I374" s="43" t="str">
        <f>IF(' جهات'!J453&gt;0,' جهات'!J453,"")</f>
        <v/>
      </c>
      <c r="J374" s="167" t="str">
        <f t="shared" si="86"/>
        <v/>
      </c>
      <c r="K374" s="168" t="str">
        <f t="shared" si="87"/>
        <v/>
      </c>
    </row>
    <row r="375" spans="2:11" s="37" customFormat="1" x14ac:dyDescent="0.2">
      <c r="B375" s="353"/>
      <c r="C375" s="345"/>
      <c r="D375" s="141">
        <f>IF(' جهات'!E454&gt;0,' جهات'!E454,"")</f>
        <v>29301026</v>
      </c>
      <c r="E375" s="4" t="str">
        <f>' جهات'!F454</f>
        <v>مجمع القاعات التدريسية وقاعة المؤتمرات/ مشروطة بالتمويل</v>
      </c>
      <c r="F375" s="43">
        <f>IF(' جهات'!G454&gt;0,' جهات'!G454,"")</f>
        <v>3000000</v>
      </c>
      <c r="G375" s="43">
        <f>IF(' جهات'!H454&gt;0,' جهات'!H454,"")</f>
        <v>3000000</v>
      </c>
      <c r="H375" s="177" t="str">
        <f>IF(' جهات'!I454&gt;0,' جهات'!I454,"")</f>
        <v/>
      </c>
      <c r="I375" s="43" t="str">
        <f>IF(' جهات'!J454&gt;0,' جهات'!J454,"")</f>
        <v/>
      </c>
      <c r="J375" s="167" t="str">
        <f t="shared" si="86"/>
        <v/>
      </c>
      <c r="K375" s="168" t="str">
        <f t="shared" si="87"/>
        <v/>
      </c>
    </row>
    <row r="376" spans="2:11" s="37" customFormat="1" x14ac:dyDescent="0.2">
      <c r="B376" s="353"/>
      <c r="C376" s="345"/>
      <c r="D376" s="141">
        <f>IF(' جهات'!E455&gt;0,' جهات'!E455,"")</f>
        <v>29301027</v>
      </c>
      <c r="E376" s="4" t="str">
        <f>' جهات'!F455</f>
        <v>جمنازيوم رياضي متعدد الأغراض (تربية بدنية)/ مشروطة بالتمويل</v>
      </c>
      <c r="F376" s="43">
        <f>IF(' جهات'!G455&gt;0,' جهات'!G455,"")</f>
        <v>180000</v>
      </c>
      <c r="G376" s="43">
        <f>IF(' جهات'!H455&gt;0,' جهات'!H455,"")</f>
        <v>180000</v>
      </c>
      <c r="H376" s="177" t="str">
        <f>IF(' جهات'!I455&gt;0,' جهات'!I455,"")</f>
        <v/>
      </c>
      <c r="I376" s="43" t="str">
        <f>IF(' جهات'!J455&gt;0,' جهات'!J455,"")</f>
        <v/>
      </c>
      <c r="J376" s="167" t="str">
        <f t="shared" si="86"/>
        <v/>
      </c>
      <c r="K376" s="168" t="str">
        <f t="shared" si="87"/>
        <v/>
      </c>
    </row>
    <row r="377" spans="2:11" x14ac:dyDescent="0.2">
      <c r="B377" s="353"/>
      <c r="C377" s="346" t="s">
        <v>21</v>
      </c>
      <c r="D377" s="346"/>
      <c r="E377" s="346"/>
      <c r="F377" s="60">
        <f>SUM(F370:F376)</f>
        <v>6655000</v>
      </c>
      <c r="G377" s="60">
        <f>SUM(G370:G376)</f>
        <v>5790000</v>
      </c>
      <c r="H377" s="60">
        <f>SUM(H370:H376)</f>
        <v>297425</v>
      </c>
      <c r="I377" s="60">
        <f>SUM(I370:I376)</f>
        <v>263207.93400000001</v>
      </c>
      <c r="J377" s="167">
        <f t="shared" si="86"/>
        <v>4.4691960931630352E-2</v>
      </c>
      <c r="K377" s="168">
        <f t="shared" si="87"/>
        <v>3.4991176470588234E-2</v>
      </c>
    </row>
    <row r="378" spans="2:11" x14ac:dyDescent="0.2">
      <c r="B378" s="353"/>
      <c r="C378" s="175" t="s">
        <v>321</v>
      </c>
      <c r="D378" s="175"/>
      <c r="E378" s="175"/>
      <c r="F378" s="175"/>
      <c r="G378" s="175"/>
      <c r="H378" s="175"/>
      <c r="I378" s="175"/>
      <c r="J378" s="167" t="str">
        <f t="shared" si="86"/>
        <v/>
      </c>
      <c r="K378" s="168">
        <f t="shared" si="87"/>
        <v>0</v>
      </c>
    </row>
    <row r="379" spans="2:11" x14ac:dyDescent="0.2">
      <c r="B379" s="353"/>
      <c r="C379" s="352">
        <v>2</v>
      </c>
      <c r="D379" s="141">
        <f>IF(' جهات'!E456&gt;0,' جهات'!E456,"")</f>
        <v>29302001</v>
      </c>
      <c r="E379" s="4" t="str">
        <f>' جهات'!F456</f>
        <v>أجهزة حاسوب وملحقاتها/ مشروطة بالتمويل</v>
      </c>
      <c r="F379" s="43">
        <f>IF(' جهات'!G456&gt;0,' جهات'!G456,"")</f>
        <v>100000</v>
      </c>
      <c r="G379" s="43">
        <f>IF(' جهات'!H456&gt;0,' جهات'!H456,"")</f>
        <v>100000</v>
      </c>
      <c r="H379" s="177" t="str">
        <f>IF(' جهات'!I456&gt;0,' جهات'!I456,"")</f>
        <v/>
      </c>
      <c r="I379" s="43">
        <f>IF(' جهات'!J456&gt;0,' جهات'!J456,"")</f>
        <v>14000</v>
      </c>
      <c r="J379" s="167" t="str">
        <f t="shared" si="86"/>
        <v/>
      </c>
      <c r="K379" s="168" t="str">
        <f t="shared" si="87"/>
        <v/>
      </c>
    </row>
    <row r="380" spans="2:11" x14ac:dyDescent="0.2">
      <c r="B380" s="353"/>
      <c r="C380" s="352"/>
      <c r="D380" s="141">
        <f>IF(' جهات'!E457&gt;0,' جهات'!E457,"")</f>
        <v>29302002</v>
      </c>
      <c r="E380" s="4" t="str">
        <f>' جهات'!F457</f>
        <v>أجهزة وتجهيزات خاصة بالمختبرات/ مشروطة بالتمويل</v>
      </c>
      <c r="F380" s="43">
        <f>IF(' جهات'!G457&gt;0,' جهات'!G457,"")</f>
        <v>100000</v>
      </c>
      <c r="G380" s="43">
        <f>IF(' جهات'!H457&gt;0,' جهات'!H457,"")</f>
        <v>100000</v>
      </c>
      <c r="H380" s="177" t="str">
        <f>IF(' جهات'!I457&gt;0,' جهات'!I457,"")</f>
        <v/>
      </c>
      <c r="I380" s="43" t="str">
        <f>IF(' جهات'!J457&gt;0,' جهات'!J457,"")</f>
        <v/>
      </c>
      <c r="J380" s="167" t="str">
        <f t="shared" si="86"/>
        <v/>
      </c>
      <c r="K380" s="168" t="str">
        <f t="shared" si="87"/>
        <v/>
      </c>
    </row>
    <row r="381" spans="2:11" x14ac:dyDescent="0.2">
      <c r="B381" s="353"/>
      <c r="C381" s="352"/>
      <c r="D381" s="141">
        <f>IF(' جهات'!E458&gt;0,' جهات'!E458,"")</f>
        <v>29302003</v>
      </c>
      <c r="E381" s="4" t="str">
        <f>' جهات'!F458</f>
        <v>أجهزة وتجهيزات متنوعة/ مشروطة بالتمويل</v>
      </c>
      <c r="F381" s="43">
        <f>IF(' جهات'!G458&gt;0,' جهات'!G458,"")</f>
        <v>100000</v>
      </c>
      <c r="G381" s="43">
        <f>IF(' جهات'!H458&gt;0,' جهات'!H458,"")</f>
        <v>100000</v>
      </c>
      <c r="H381" s="177" t="str">
        <f>IF(' جهات'!I458&gt;0,' جهات'!I458,"")</f>
        <v/>
      </c>
      <c r="I381" s="43" t="str">
        <f>IF(' جهات'!J458&gt;0,' جهات'!J458,"")</f>
        <v/>
      </c>
      <c r="J381" s="167" t="str">
        <f t="shared" si="86"/>
        <v/>
      </c>
      <c r="K381" s="168" t="str">
        <f t="shared" si="87"/>
        <v/>
      </c>
    </row>
    <row r="382" spans="2:11" x14ac:dyDescent="0.2">
      <c r="B382" s="353"/>
      <c r="C382" s="352"/>
      <c r="D382" s="141">
        <f>IF(' جهات'!E459&gt;0,' جهات'!E459,"")</f>
        <v>29302004</v>
      </c>
      <c r="E382" s="4" t="str">
        <f>' جهات'!F459</f>
        <v>تطوير وتأهيل البنية التحتية للشبكات المختلفة/ مشروطة بالتمويل</v>
      </c>
      <c r="F382" s="43">
        <f>IF(' جهات'!G459&gt;0,' جهات'!G459,"")</f>
        <v>100000</v>
      </c>
      <c r="G382" s="43">
        <f>IF(' جهات'!H459&gt;0,' جهات'!H459,"")</f>
        <v>100000</v>
      </c>
      <c r="H382" s="177" t="str">
        <f>IF(' جهات'!I459&gt;0,' جهات'!I459,"")</f>
        <v/>
      </c>
      <c r="I382" s="43">
        <f>IF(' جهات'!J459&gt;0,' جهات'!J459,"")</f>
        <v>75000</v>
      </c>
      <c r="J382" s="167" t="str">
        <f t="shared" si="86"/>
        <v/>
      </c>
      <c r="K382" s="168" t="str">
        <f t="shared" si="87"/>
        <v/>
      </c>
    </row>
    <row r="383" spans="2:11" s="37" customFormat="1" x14ac:dyDescent="0.2">
      <c r="B383" s="353"/>
      <c r="C383" s="352"/>
      <c r="D383" s="141">
        <f>IF(' جهات'!E460&gt;0,' جهات'!E460,"")</f>
        <v>29302005</v>
      </c>
      <c r="E383" s="4" t="str">
        <f>' جهات'!F460</f>
        <v>تأهيل مسابح الجامعة والمسبح الأولمبي/ مشروطة بالتمويل</v>
      </c>
      <c r="F383" s="43">
        <f>IF(' جهات'!G460&gt;0,' جهات'!G460,"")</f>
        <v>100000</v>
      </c>
      <c r="G383" s="43">
        <f>IF(' جهات'!H460&gt;0,' جهات'!H460,"")</f>
        <v>100000</v>
      </c>
      <c r="H383" s="177">
        <f>IF(' جهات'!I460&gt;0,' جهات'!I460,"")</f>
        <v>40304</v>
      </c>
      <c r="I383" s="43">
        <f>IF(' جهات'!J460&gt;0,' جهات'!J460,"")</f>
        <v>50001</v>
      </c>
      <c r="J383" s="167">
        <f t="shared" si="86"/>
        <v>0.40304000000000001</v>
      </c>
      <c r="K383" s="168">
        <f t="shared" si="87"/>
        <v>4.7416470588235293E-3</v>
      </c>
    </row>
    <row r="384" spans="2:11" s="37" customFormat="1" x14ac:dyDescent="0.2">
      <c r="B384" s="353"/>
      <c r="C384" s="352"/>
      <c r="D384" s="132">
        <f>IF(' جهات'!E461&gt;0,' جهات'!E461,"")</f>
        <v>29302006</v>
      </c>
      <c r="E384" s="4" t="str">
        <f>' جهات'!F461</f>
        <v>PADILEIA - Partnership for Digital Learning &amp; Increased Access</v>
      </c>
      <c r="F384" s="43">
        <f>IF(' جهات'!G461&gt;0,' جهات'!G461,"")</f>
        <v>1000000</v>
      </c>
      <c r="G384" s="43">
        <f>IF(' جهات'!H461&gt;0,' جهات'!H461,"")</f>
        <v>1000000</v>
      </c>
      <c r="H384" s="177" t="str">
        <f>IF(' جهات'!I461&gt;0,' جهات'!I461,"")</f>
        <v/>
      </c>
      <c r="I384" s="43" t="str">
        <f>IF(' جهات'!J461&gt;0,' جهات'!J461,"")</f>
        <v/>
      </c>
      <c r="J384" s="167" t="str">
        <f t="shared" si="86"/>
        <v/>
      </c>
      <c r="K384" s="168" t="str">
        <f t="shared" si="87"/>
        <v/>
      </c>
    </row>
    <row r="385" spans="2:11" s="37" customFormat="1" x14ac:dyDescent="0.2">
      <c r="B385" s="353"/>
      <c r="C385" s="352"/>
      <c r="D385" s="132">
        <f>IF(' جهات'!E462&gt;0,' جهات'!E462,"")</f>
        <v>29302007</v>
      </c>
      <c r="E385" s="4" t="str">
        <f>' جهات'!F462</f>
        <v>مشروع الشبكة اللاسلكية/ مشروطة بالتمويل</v>
      </c>
      <c r="F385" s="43">
        <f>IF(' جهات'!G462&gt;0,' جهات'!G462,"")</f>
        <v>200000</v>
      </c>
      <c r="G385" s="43">
        <f>IF(' جهات'!H462&gt;0,' جهات'!H462,"")</f>
        <v>200000</v>
      </c>
      <c r="H385" s="177" t="str">
        <f>IF(' جهات'!I462&gt;0,' جهات'!I462,"")</f>
        <v/>
      </c>
      <c r="I385" s="43" t="str">
        <f>IF(' جهات'!J462&gt;0,' جهات'!J462,"")</f>
        <v/>
      </c>
      <c r="J385" s="167" t="str">
        <f t="shared" si="86"/>
        <v/>
      </c>
      <c r="K385" s="168" t="str">
        <f t="shared" si="87"/>
        <v/>
      </c>
    </row>
    <row r="386" spans="2:11" s="37" customFormat="1" x14ac:dyDescent="0.2">
      <c r="B386" s="353"/>
      <c r="C386" s="352"/>
      <c r="D386" s="132">
        <f>IF(' جهات'!E463&gt;0,' جهات'!E463,"")</f>
        <v>29302008</v>
      </c>
      <c r="E386" s="4" t="str">
        <f>' جهات'!F463</f>
        <v xml:space="preserve">تطوير الموقع الالكتروني مركز الحاسوب /منحة تعليم عالي </v>
      </c>
      <c r="F386" s="43">
        <f>IF(' جهات'!G463&gt;0,' جهات'!G463,"")</f>
        <v>75000</v>
      </c>
      <c r="G386" s="43">
        <f>IF(' جهات'!H463&gt;0,' جهات'!H463,"")</f>
        <v>75000</v>
      </c>
      <c r="H386" s="177" t="str">
        <f>IF(' جهات'!I463&gt;0,' جهات'!I463,"")</f>
        <v/>
      </c>
      <c r="I386" s="43" t="str">
        <f>IF(' جهات'!J463&gt;0,' جهات'!J463,"")</f>
        <v/>
      </c>
      <c r="J386" s="167" t="str">
        <f t="shared" si="86"/>
        <v/>
      </c>
      <c r="K386" s="168" t="str">
        <f t="shared" si="87"/>
        <v/>
      </c>
    </row>
    <row r="387" spans="2:11" s="37" customFormat="1" x14ac:dyDescent="0.2">
      <c r="B387" s="353"/>
      <c r="C387" s="352"/>
      <c r="D387" s="132">
        <f>IF(' جهات'!E464&gt;0,' جهات'!E464,"")</f>
        <v>29302009</v>
      </c>
      <c r="E387" s="4" t="str">
        <f>' جهات'!F464</f>
        <v xml:space="preserve">مشروع المراسلات والأرشفة الالكترونية/ مشروطة بالتمويل </v>
      </c>
      <c r="F387" s="43">
        <f>IF(' جهات'!G464&gt;0,' جهات'!G464,"")</f>
        <v>70000</v>
      </c>
      <c r="G387" s="43">
        <f>IF(' جهات'!H464&gt;0,' جهات'!H464,"")</f>
        <v>70000</v>
      </c>
      <c r="H387" s="177" t="str">
        <f>IF(' جهات'!I464&gt;0,' جهات'!I464,"")</f>
        <v/>
      </c>
      <c r="I387" s="43">
        <f>IF(' جهات'!J464&gt;0,' جهات'!J464,"")</f>
        <v>25800</v>
      </c>
      <c r="J387" s="167" t="str">
        <f t="shared" si="86"/>
        <v/>
      </c>
      <c r="K387" s="168" t="str">
        <f t="shared" si="87"/>
        <v/>
      </c>
    </row>
    <row r="388" spans="2:11" x14ac:dyDescent="0.2">
      <c r="B388" s="353"/>
      <c r="C388" s="346" t="s">
        <v>21</v>
      </c>
      <c r="D388" s="346"/>
      <c r="E388" s="346"/>
      <c r="F388" s="60">
        <f>SUM(F379:F387)</f>
        <v>1845000</v>
      </c>
      <c r="G388" s="60">
        <f t="shared" ref="G388:I388" si="88">SUM(G379:G387)</f>
        <v>1845000</v>
      </c>
      <c r="H388" s="60">
        <f t="shared" si="88"/>
        <v>40304</v>
      </c>
      <c r="I388" s="60">
        <f t="shared" si="88"/>
        <v>164801</v>
      </c>
      <c r="J388" s="167">
        <f t="shared" si="86"/>
        <v>2.18449864498645E-2</v>
      </c>
      <c r="K388" s="168">
        <f t="shared" si="87"/>
        <v>4.7416470588235293E-3</v>
      </c>
    </row>
    <row r="389" spans="2:11" s="37" customFormat="1" x14ac:dyDescent="0.2">
      <c r="B389" s="321" t="s">
        <v>539</v>
      </c>
      <c r="C389" s="321"/>
      <c r="D389" s="321"/>
      <c r="E389" s="321"/>
      <c r="F389" s="61">
        <f>F377+F388</f>
        <v>8500000</v>
      </c>
      <c r="G389" s="61">
        <f t="shared" ref="G389:I389" si="89">G377+G388</f>
        <v>7635000</v>
      </c>
      <c r="H389" s="61">
        <f t="shared" si="89"/>
        <v>337729</v>
      </c>
      <c r="I389" s="61">
        <f t="shared" si="89"/>
        <v>428008.93400000001</v>
      </c>
      <c r="J389" s="167">
        <f t="shared" si="86"/>
        <v>3.9732823529411765E-2</v>
      </c>
      <c r="K389" s="168">
        <f t="shared" si="87"/>
        <v>3.9732823529411765E-2</v>
      </c>
    </row>
    <row r="390" spans="2:11" s="37" customFormat="1" x14ac:dyDescent="0.2">
      <c r="B390" s="338" t="s">
        <v>542</v>
      </c>
      <c r="C390" s="338"/>
      <c r="D390" s="338"/>
      <c r="E390" s="338"/>
      <c r="F390" s="338"/>
      <c r="G390" s="338"/>
      <c r="H390" s="338"/>
      <c r="I390" s="338"/>
      <c r="J390" s="338"/>
      <c r="K390" s="338"/>
    </row>
    <row r="391" spans="2:11" s="37" customFormat="1" x14ac:dyDescent="0.2">
      <c r="B391" s="353">
        <v>94</v>
      </c>
      <c r="C391" s="356" t="s">
        <v>509</v>
      </c>
      <c r="D391" s="356"/>
      <c r="E391" s="356"/>
      <c r="F391" s="356"/>
      <c r="G391" s="356"/>
      <c r="H391" s="356"/>
      <c r="I391" s="356"/>
      <c r="J391" s="356"/>
      <c r="K391" s="356"/>
    </row>
    <row r="392" spans="2:11" s="37" customFormat="1" x14ac:dyDescent="0.2">
      <c r="B392" s="353"/>
      <c r="C392" s="352">
        <v>1</v>
      </c>
      <c r="D392" s="132">
        <f>IF(' جهات'!E466&gt;0,' جهات'!E466,"")</f>
        <v>29401001</v>
      </c>
      <c r="E392" s="132" t="str">
        <f>IF(' جهات'!F466&gt;0,' جهات'!F466,"")</f>
        <v>المساهمة في تدريس أبناء الشهداء والمصابين العسكريين/ العادي</v>
      </c>
      <c r="F392" s="43">
        <f>IF(' جهات'!G466&gt;0,' جهات'!G466,"")</f>
        <v>50000</v>
      </c>
      <c r="G392" s="43">
        <f>IF(' جهات'!H466&gt;0,' جهات'!H466,"")</f>
        <v>50000</v>
      </c>
      <c r="H392" s="177">
        <f>IF(' جهات'!I466&gt;0,' جهات'!I466,"")</f>
        <v>32413</v>
      </c>
      <c r="I392" s="43" t="str">
        <f>IF(' جهات'!J466&gt;0,' جهات'!J466,"")</f>
        <v/>
      </c>
      <c r="J392" s="167">
        <f>IFERROR(H392/F392,"")</f>
        <v>0.64825999999999995</v>
      </c>
      <c r="K392" s="168">
        <f>IFERROR(H392/$F$402,"")</f>
        <v>2.1608666666666668E-2</v>
      </c>
    </row>
    <row r="393" spans="2:11" s="37" customFormat="1" x14ac:dyDescent="0.2">
      <c r="B393" s="353"/>
      <c r="C393" s="352"/>
      <c r="D393" s="132">
        <f>IF(' جهات'!E467&gt;0,' جهات'!E467,"")</f>
        <v>29401002</v>
      </c>
      <c r="E393" s="132" t="str">
        <f>IF(' جهات'!F467&gt;0,' جهات'!F467,"")</f>
        <v>المساهمة في تدريس أبناء العاملين في الجامعات الحكومية/ العادي</v>
      </c>
      <c r="F393" s="43">
        <f>IF(' جهات'!G467&gt;0,' جهات'!G467,"")</f>
        <v>100000</v>
      </c>
      <c r="G393" s="43">
        <f>IF(' جهات'!H467&gt;0,' جهات'!H467,"")</f>
        <v>115000</v>
      </c>
      <c r="H393" s="177">
        <f>IF(' جهات'!I467&gt;0,' جهات'!I467,"")</f>
        <v>114407.4</v>
      </c>
      <c r="I393" s="43" t="str">
        <f>IF(' جهات'!J467&gt;0,' جهات'!J467,"")</f>
        <v/>
      </c>
      <c r="J393" s="167">
        <f t="shared" ref="J393:J402" si="90">IFERROR(H393/F393,"")</f>
        <v>1.144074</v>
      </c>
      <c r="K393" s="168">
        <f t="shared" ref="K393:K402" si="91">IFERROR(H393/$F$402,"")</f>
        <v>7.6271599999999995E-2</v>
      </c>
    </row>
    <row r="394" spans="2:11" s="37" customFormat="1" x14ac:dyDescent="0.2">
      <c r="B394" s="353"/>
      <c r="C394" s="352"/>
      <c r="D394" s="132">
        <f>IF(' جهات'!E468&gt;0,' جهات'!E468,"")</f>
        <v>29401003</v>
      </c>
      <c r="E394" s="132" t="str">
        <f>IF(' جهات'!F468&gt;0,' جهات'!F468,"")</f>
        <v>المساهمة في تدريس ذوي الاحتياجات الخاصة/ العادي</v>
      </c>
      <c r="F394" s="43">
        <f>IF(' جهات'!G468&gt;0,' جهات'!G468,"")</f>
        <v>20000</v>
      </c>
      <c r="G394" s="43">
        <f>IF(' جهات'!H468&gt;0,' جهات'!H468,"")</f>
        <v>19000</v>
      </c>
      <c r="H394" s="177">
        <f>IF(' جهات'!I468&gt;0,' جهات'!I468,"")</f>
        <v>15145.2</v>
      </c>
      <c r="I394" s="43" t="str">
        <f>IF(' جهات'!J468&gt;0,' جهات'!J468,"")</f>
        <v/>
      </c>
      <c r="J394" s="167">
        <f t="shared" si="90"/>
        <v>0.75726000000000004</v>
      </c>
      <c r="K394" s="168">
        <f t="shared" si="91"/>
        <v>1.0096800000000001E-2</v>
      </c>
    </row>
    <row r="395" spans="2:11" s="37" customFormat="1" x14ac:dyDescent="0.2">
      <c r="B395" s="353"/>
      <c r="C395" s="352"/>
      <c r="D395" s="132">
        <f>IF(' جهات'!E469&gt;0,' جهات'!E469,"")</f>
        <v>29401004</v>
      </c>
      <c r="E395" s="132" t="str">
        <f>IF(' جهات'!F469&gt;0,' جهات'!F469,"")</f>
        <v>المساهمة في تدريس طلاب الديوان الملكي/ العادي</v>
      </c>
      <c r="F395" s="43">
        <f>IF(' جهات'!G469&gt;0,' جهات'!G469,"")</f>
        <v>100000</v>
      </c>
      <c r="G395" s="43">
        <f>IF(' جهات'!H469&gt;0,' جهات'!H469,"")</f>
        <v>100000</v>
      </c>
      <c r="H395" s="177">
        <f>IF(' جهات'!I469&gt;0,' جهات'!I469,"")</f>
        <v>96174</v>
      </c>
      <c r="I395" s="43" t="str">
        <f>IF(' جهات'!J469&gt;0,' جهات'!J469,"")</f>
        <v/>
      </c>
      <c r="J395" s="167">
        <f t="shared" si="90"/>
        <v>0.96174000000000004</v>
      </c>
      <c r="K395" s="168">
        <f t="shared" si="91"/>
        <v>6.4116000000000006E-2</v>
      </c>
    </row>
    <row r="396" spans="2:11" s="37" customFormat="1" x14ac:dyDescent="0.2">
      <c r="B396" s="353"/>
      <c r="C396" s="352"/>
      <c r="D396" s="132">
        <f>IF(' جهات'!E470&gt;0,' جهات'!E470,"")</f>
        <v>29401005</v>
      </c>
      <c r="E396" s="132" t="str">
        <f>IF(' جهات'!F470&gt;0,' جهات'!F470,"")</f>
        <v>المساهمة في تدريس طلاب وزارة الصحة/ العادي</v>
      </c>
      <c r="F396" s="43">
        <f>IF(' جهات'!G470&gt;0,' جهات'!G470,"")</f>
        <v>10000</v>
      </c>
      <c r="G396" s="43">
        <f>IF(' جهات'!H470&gt;0,' جهات'!H470,"")</f>
        <v>10000</v>
      </c>
      <c r="H396" s="177">
        <f>IF(' جهات'!I470&gt;0,' جهات'!I470,"")</f>
        <v>3860</v>
      </c>
      <c r="I396" s="43" t="str">
        <f>IF(' جهات'!J470&gt;0,' جهات'!J470,"")</f>
        <v/>
      </c>
      <c r="J396" s="167">
        <f t="shared" si="90"/>
        <v>0.38600000000000001</v>
      </c>
      <c r="K396" s="168">
        <f t="shared" si="91"/>
        <v>2.5733333333333333E-3</v>
      </c>
    </row>
    <row r="397" spans="2:11" s="37" customFormat="1" x14ac:dyDescent="0.2">
      <c r="B397" s="353"/>
      <c r="C397" s="352"/>
      <c r="D397" s="132">
        <f>IF(' جهات'!E471&gt;0,' جهات'!E471,"")</f>
        <v>29402001</v>
      </c>
      <c r="E397" s="132" t="str">
        <f>IF(' جهات'!F471&gt;0,' جهات'!F471,"")</f>
        <v>المساهمة في تدريس أبناء الشهداء والمصابين العسكريين/ غير العادي</v>
      </c>
      <c r="F397" s="43">
        <f>IF(' جهات'!G471&gt;0,' جهات'!G471,"")</f>
        <v>1160000</v>
      </c>
      <c r="G397" s="43">
        <f>IF(' جهات'!H471&gt;0,' جهات'!H471,"")</f>
        <v>1876000</v>
      </c>
      <c r="H397" s="177">
        <f>IF(' جهات'!I471&gt;0,' جهات'!I471,"")</f>
        <v>1841547</v>
      </c>
      <c r="I397" s="43" t="str">
        <f>IF(' جهات'!J471&gt;0,' جهات'!J471,"")</f>
        <v/>
      </c>
      <c r="J397" s="167">
        <f t="shared" si="90"/>
        <v>1.5875405172413792</v>
      </c>
      <c r="K397" s="168">
        <f t="shared" si="91"/>
        <v>1.227698</v>
      </c>
    </row>
    <row r="398" spans="2:11" s="37" customFormat="1" x14ac:dyDescent="0.2">
      <c r="B398" s="353"/>
      <c r="C398" s="352"/>
      <c r="D398" s="132">
        <f>IF(' جهات'!E472&gt;0,' جهات'!E472,"")</f>
        <v>29402002</v>
      </c>
      <c r="E398" s="132" t="str">
        <f>IF(' جهات'!F472&gt;0,' جهات'!F472,"")</f>
        <v>المساهمة في تدريس أبناء العاملين في الجامعات الحكومية/ غير العادي</v>
      </c>
      <c r="F398" s="43">
        <f>IF(' جهات'!G472&gt;0,' جهات'!G472,"")</f>
        <v>20000</v>
      </c>
      <c r="G398" s="43">
        <f>IF(' جهات'!H472&gt;0,' جهات'!H472,"")</f>
        <v>130000</v>
      </c>
      <c r="H398" s="177">
        <f>IF(' جهات'!I472&gt;0,' جهات'!I472,"")</f>
        <v>18172.5</v>
      </c>
      <c r="I398" s="43" t="str">
        <f>IF(' جهات'!J472&gt;0,' جهات'!J472,"")</f>
        <v/>
      </c>
      <c r="J398" s="167">
        <f t="shared" si="90"/>
        <v>0.90862500000000002</v>
      </c>
      <c r="K398" s="168">
        <f t="shared" si="91"/>
        <v>1.2115000000000001E-2</v>
      </c>
    </row>
    <row r="399" spans="2:11" s="37" customFormat="1" x14ac:dyDescent="0.2">
      <c r="B399" s="353"/>
      <c r="C399" s="352"/>
      <c r="D399" s="132">
        <f>IF(' جهات'!E473&gt;0,' جهات'!E473,"")</f>
        <v>29402003</v>
      </c>
      <c r="E399" s="132" t="str">
        <f>IF(' جهات'!F473&gt;0,' جهات'!F473,"")</f>
        <v>المساهمة في تدريس ذوي الاحتياجات الخاصة/ غير العادي</v>
      </c>
      <c r="F399" s="43">
        <f>IF(' جهات'!G473&gt;0,' جهات'!G473,"")</f>
        <v>25000</v>
      </c>
      <c r="G399" s="43">
        <f>IF(' جهات'!H473&gt;0,' جهات'!H473,"")</f>
        <v>48000</v>
      </c>
      <c r="H399" s="177">
        <f>IF(' جهات'!I473&gt;0,' جهات'!I473,"")</f>
        <v>31486.5</v>
      </c>
      <c r="I399" s="43" t="str">
        <f>IF(' جهات'!J473&gt;0,' جهات'!J473,"")</f>
        <v/>
      </c>
      <c r="J399" s="167">
        <f t="shared" si="90"/>
        <v>1.25946</v>
      </c>
      <c r="K399" s="168">
        <f t="shared" si="91"/>
        <v>2.0990999999999999E-2</v>
      </c>
    </row>
    <row r="400" spans="2:11" s="37" customFormat="1" x14ac:dyDescent="0.2">
      <c r="B400" s="353"/>
      <c r="C400" s="352"/>
      <c r="D400" s="132">
        <f>IF(' جهات'!E474&gt;0,' جهات'!E474,"")</f>
        <v>29402005</v>
      </c>
      <c r="E400" s="132" t="str">
        <f>IF(' جهات'!F474&gt;0,' جهات'!F474,"")</f>
        <v>المساهمة في تدريس طلاب وزارة الصحة/ غير العادي</v>
      </c>
      <c r="F400" s="43">
        <f>IF(' جهات'!G474&gt;0,' جهات'!G474,"")</f>
        <v>15000</v>
      </c>
      <c r="G400" s="43">
        <f>IF(' جهات'!H474&gt;0,' جهات'!H474,"")</f>
        <v>17000</v>
      </c>
      <c r="H400" s="177">
        <f>IF(' جهات'!I474&gt;0,' جهات'!I474,"")</f>
        <v>12780</v>
      </c>
      <c r="I400" s="43" t="str">
        <f>IF(' جهات'!J474&gt;0,' جهات'!J474,"")</f>
        <v/>
      </c>
      <c r="J400" s="167">
        <f t="shared" si="90"/>
        <v>0.85199999999999998</v>
      </c>
      <c r="K400" s="168">
        <f t="shared" si="91"/>
        <v>8.5199999999999998E-3</v>
      </c>
    </row>
    <row r="401" spans="2:11" s="37" customFormat="1" x14ac:dyDescent="0.2">
      <c r="B401" s="353"/>
      <c r="C401" s="346" t="s">
        <v>21</v>
      </c>
      <c r="D401" s="346"/>
      <c r="E401" s="346"/>
      <c r="F401" s="94">
        <f>SUM(F392:F400)</f>
        <v>1500000</v>
      </c>
      <c r="G401" s="94">
        <f>SUM(G392:G400)</f>
        <v>2365000</v>
      </c>
      <c r="H401" s="94">
        <f t="shared" ref="H401:I401" si="92">SUM(H392:H400)</f>
        <v>2165985.6</v>
      </c>
      <c r="I401" s="94">
        <f t="shared" si="92"/>
        <v>0</v>
      </c>
      <c r="J401" s="167">
        <f>IFERROR(H401/F401,"")</f>
        <v>1.4439904000000001</v>
      </c>
      <c r="K401" s="168">
        <f t="shared" si="91"/>
        <v>1.4439904000000001</v>
      </c>
    </row>
    <row r="402" spans="2:11" s="37" customFormat="1" x14ac:dyDescent="0.2">
      <c r="B402" s="321" t="s">
        <v>543</v>
      </c>
      <c r="C402" s="321"/>
      <c r="D402" s="321"/>
      <c r="E402" s="321"/>
      <c r="F402" s="61">
        <f>SUM(F401)</f>
        <v>1500000</v>
      </c>
      <c r="G402" s="61">
        <f t="shared" ref="G402:I402" si="93">SUM(G401)</f>
        <v>2365000</v>
      </c>
      <c r="H402" s="61">
        <f t="shared" si="93"/>
        <v>2165985.6</v>
      </c>
      <c r="I402" s="61">
        <f t="shared" si="93"/>
        <v>0</v>
      </c>
      <c r="J402" s="167">
        <f t="shared" si="90"/>
        <v>1.4439904000000001</v>
      </c>
      <c r="K402" s="168">
        <f t="shared" si="91"/>
        <v>1.4439904000000001</v>
      </c>
    </row>
    <row r="403" spans="2:11" x14ac:dyDescent="0.2">
      <c r="B403" s="336" t="s">
        <v>561</v>
      </c>
      <c r="C403" s="336"/>
      <c r="D403" s="336"/>
      <c r="E403" s="336"/>
      <c r="F403" s="176">
        <f>F389+F402</f>
        <v>10000000</v>
      </c>
      <c r="G403" s="176">
        <f>G389+G402</f>
        <v>10000000</v>
      </c>
      <c r="H403" s="176">
        <f t="shared" ref="H403" si="94">H389+H402</f>
        <v>2503714.6</v>
      </c>
      <c r="I403" s="176">
        <f>I389+I402</f>
        <v>428008.93400000001</v>
      </c>
      <c r="J403" s="167">
        <f>IFERROR(H403/G403,"")</f>
        <v>0.25037145999999999</v>
      </c>
      <c r="K403" s="168">
        <f>IFERROR(H403/$G$403,"")</f>
        <v>0.25037145999999999</v>
      </c>
    </row>
    <row r="405" spans="2:11" s="37" customFormat="1" ht="9.9499999999999993" customHeight="1" x14ac:dyDescent="0.2">
      <c r="B405" s="7"/>
      <c r="C405" s="7"/>
      <c r="D405" s="10"/>
      <c r="E405" s="76"/>
      <c r="F405" s="7"/>
      <c r="G405" s="7"/>
      <c r="H405" s="7"/>
      <c r="I405" s="7"/>
      <c r="J405" s="206"/>
      <c r="K405" s="206"/>
    </row>
    <row r="406" spans="2:11" x14ac:dyDescent="0.2">
      <c r="F406" s="90">
        <f>F351+F363+F403</f>
        <v>68814000</v>
      </c>
      <c r="G406" s="90">
        <f>G351+G363+G403</f>
        <v>68814000</v>
      </c>
      <c r="H406" s="90">
        <f>H351+H363+H403</f>
        <v>45663334.814000003</v>
      </c>
      <c r="I406" s="90">
        <f>I351+I363+I403</f>
        <v>3330095.43</v>
      </c>
    </row>
    <row r="407" spans="2:11" x14ac:dyDescent="0.2">
      <c r="F407" s="90">
        <f>' جهات'!G488-'ن-فرعي'!F406</f>
        <v>0</v>
      </c>
      <c r="G407" s="90">
        <f>' جهات'!H488-'ن-فرعي'!G406</f>
        <v>0</v>
      </c>
      <c r="H407" s="90">
        <f>' جهات'!I488-'ن-فرعي'!H406</f>
        <v>0</v>
      </c>
      <c r="I407" s="90">
        <f>' جهات'!J488-'ن-فرعي'!I406</f>
        <v>0</v>
      </c>
    </row>
  </sheetData>
  <mergeCells count="275">
    <mergeCell ref="C200:K200"/>
    <mergeCell ref="B199:K199"/>
    <mergeCell ref="B198:K198"/>
    <mergeCell ref="C193:K193"/>
    <mergeCell ref="B192:K192"/>
    <mergeCell ref="B217:E217"/>
    <mergeCell ref="C208:I208"/>
    <mergeCell ref="C201:C206"/>
    <mergeCell ref="B196:E196"/>
    <mergeCell ref="B213:B216"/>
    <mergeCell ref="B197:E197"/>
    <mergeCell ref="C214:C215"/>
    <mergeCell ref="C210:E210"/>
    <mergeCell ref="C216:E216"/>
    <mergeCell ref="B193:B195"/>
    <mergeCell ref="B267:E267"/>
    <mergeCell ref="B268:E268"/>
    <mergeCell ref="C256:E256"/>
    <mergeCell ref="B261:B266"/>
    <mergeCell ref="C219:K219"/>
    <mergeCell ref="B218:K218"/>
    <mergeCell ref="C238:E238"/>
    <mergeCell ref="C224:E224"/>
    <mergeCell ref="B236:B238"/>
    <mergeCell ref="C236:K236"/>
    <mergeCell ref="B235:K235"/>
    <mergeCell ref="C244:E244"/>
    <mergeCell ref="C254:C255"/>
    <mergeCell ref="C315:K315"/>
    <mergeCell ref="C307:K307"/>
    <mergeCell ref="C303:K303"/>
    <mergeCell ref="B302:K302"/>
    <mergeCell ref="C297:K297"/>
    <mergeCell ref="C290:K290"/>
    <mergeCell ref="C283:K283"/>
    <mergeCell ref="B282:K282"/>
    <mergeCell ref="C277:K277"/>
    <mergeCell ref="C308:C313"/>
    <mergeCell ref="C298:C299"/>
    <mergeCell ref="C300:E300"/>
    <mergeCell ref="C280:E280"/>
    <mergeCell ref="C346:K346"/>
    <mergeCell ref="B345:K345"/>
    <mergeCell ref="C341:K341"/>
    <mergeCell ref="C333:K333"/>
    <mergeCell ref="C330:K330"/>
    <mergeCell ref="B329:K329"/>
    <mergeCell ref="C325:K325"/>
    <mergeCell ref="C321:K321"/>
    <mergeCell ref="B320:K320"/>
    <mergeCell ref="C95:K95"/>
    <mergeCell ref="C92:K92"/>
    <mergeCell ref="C85:K85"/>
    <mergeCell ref="B84:K84"/>
    <mergeCell ref="C104:E104"/>
    <mergeCell ref="C80:K80"/>
    <mergeCell ref="C76:K76"/>
    <mergeCell ref="C71:K71"/>
    <mergeCell ref="C66:K66"/>
    <mergeCell ref="C97:E97"/>
    <mergeCell ref="C75:E75"/>
    <mergeCell ref="C70:E70"/>
    <mergeCell ref="C67:C69"/>
    <mergeCell ref="C77:C78"/>
    <mergeCell ref="C82:E82"/>
    <mergeCell ref="B83:E83"/>
    <mergeCell ref="C72:C74"/>
    <mergeCell ref="C100:E100"/>
    <mergeCell ref="C102:C103"/>
    <mergeCell ref="B5:K5"/>
    <mergeCell ref="B4:K4"/>
    <mergeCell ref="C34:K34"/>
    <mergeCell ref="B33:K33"/>
    <mergeCell ref="C27:K27"/>
    <mergeCell ref="C21:K21"/>
    <mergeCell ref="C15:K15"/>
    <mergeCell ref="C63:K63"/>
    <mergeCell ref="C56:K56"/>
    <mergeCell ref="C51:K51"/>
    <mergeCell ref="B50:K50"/>
    <mergeCell ref="C46:K46"/>
    <mergeCell ref="C43:K43"/>
    <mergeCell ref="C40:K40"/>
    <mergeCell ref="C37:K37"/>
    <mergeCell ref="C55:E55"/>
    <mergeCell ref="C62:E62"/>
    <mergeCell ref="C26:E26"/>
    <mergeCell ref="C20:E20"/>
    <mergeCell ref="C391:K391"/>
    <mergeCell ref="B390:K390"/>
    <mergeCell ref="C369:K369"/>
    <mergeCell ref="B368:K368"/>
    <mergeCell ref="B367:K367"/>
    <mergeCell ref="F366:K366"/>
    <mergeCell ref="B365:K365"/>
    <mergeCell ref="F354:K354"/>
    <mergeCell ref="C357:K357"/>
    <mergeCell ref="B356:K356"/>
    <mergeCell ref="B355:K355"/>
    <mergeCell ref="C358:C361"/>
    <mergeCell ref="C110:E110"/>
    <mergeCell ref="C107:E107"/>
    <mergeCell ref="B211:E211"/>
    <mergeCell ref="C207:E207"/>
    <mergeCell ref="C220:C223"/>
    <mergeCell ref="C233:E233"/>
    <mergeCell ref="B227:B233"/>
    <mergeCell ref="B225:E225"/>
    <mergeCell ref="B234:E234"/>
    <mergeCell ref="C111:K111"/>
    <mergeCell ref="C108:K108"/>
    <mergeCell ref="C150:C151"/>
    <mergeCell ref="C117:C123"/>
    <mergeCell ref="C136:C138"/>
    <mergeCell ref="C145:C147"/>
    <mergeCell ref="C113:E113"/>
    <mergeCell ref="B85:B113"/>
    <mergeCell ref="B114:E114"/>
    <mergeCell ref="C94:E94"/>
    <mergeCell ref="C141:C142"/>
    <mergeCell ref="C91:E91"/>
    <mergeCell ref="C124:E124"/>
    <mergeCell ref="C126:C128"/>
    <mergeCell ref="C86:C90"/>
    <mergeCell ref="C105:K105"/>
    <mergeCell ref="C101:K101"/>
    <mergeCell ref="C98:K98"/>
    <mergeCell ref="C213:K213"/>
    <mergeCell ref="B212:K212"/>
    <mergeCell ref="C327:E327"/>
    <mergeCell ref="C348:E348"/>
    <mergeCell ref="C304:C305"/>
    <mergeCell ref="B241:B250"/>
    <mergeCell ref="C276:E276"/>
    <mergeCell ref="C278:C279"/>
    <mergeCell ref="C332:E332"/>
    <mergeCell ref="C343:E343"/>
    <mergeCell ref="C334:C339"/>
    <mergeCell ref="B344:E344"/>
    <mergeCell ref="B328:E328"/>
    <mergeCell ref="B319:E319"/>
    <mergeCell ref="B303:B318"/>
    <mergeCell ref="B330:B343"/>
    <mergeCell ref="B346:B348"/>
    <mergeCell ref="C322:C323"/>
    <mergeCell ref="B271:B280"/>
    <mergeCell ref="C316:C317"/>
    <mergeCell ref="B301:E301"/>
    <mergeCell ref="B403:E403"/>
    <mergeCell ref="B354:E354"/>
    <mergeCell ref="C392:C400"/>
    <mergeCell ref="C143:E143"/>
    <mergeCell ref="C139:E139"/>
    <mergeCell ref="C185:E185"/>
    <mergeCell ref="B200:B210"/>
    <mergeCell ref="C340:E340"/>
    <mergeCell ref="B191:E191"/>
    <mergeCell ref="C401:E401"/>
    <mergeCell ref="B391:B401"/>
    <mergeCell ref="B369:B388"/>
    <mergeCell ref="C370:C376"/>
    <mergeCell ref="C379:C387"/>
    <mergeCell ref="B349:E349"/>
    <mergeCell ref="B350:E350"/>
    <mergeCell ref="C388:E388"/>
    <mergeCell ref="C377:E377"/>
    <mergeCell ref="B351:E351"/>
    <mergeCell ref="B363:E363"/>
    <mergeCell ref="B362:E362"/>
    <mergeCell ref="B366:E366"/>
    <mergeCell ref="B357:B361"/>
    <mergeCell ref="B353:K353"/>
    <mergeCell ref="D2:D3"/>
    <mergeCell ref="E2:E3"/>
    <mergeCell ref="C57:C61"/>
    <mergeCell ref="B6:B31"/>
    <mergeCell ref="C16:C19"/>
    <mergeCell ref="C22:C25"/>
    <mergeCell ref="C28:C30"/>
    <mergeCell ref="C14:E14"/>
    <mergeCell ref="C31:E31"/>
    <mergeCell ref="C42:E42"/>
    <mergeCell ref="B1:C3"/>
    <mergeCell ref="B51:B82"/>
    <mergeCell ref="C65:E65"/>
    <mergeCell ref="C39:E39"/>
    <mergeCell ref="C36:E36"/>
    <mergeCell ref="C6:K6"/>
    <mergeCell ref="C7:C13"/>
    <mergeCell ref="B32:E32"/>
    <mergeCell ref="C79:E79"/>
    <mergeCell ref="B49:E49"/>
    <mergeCell ref="C48:E48"/>
    <mergeCell ref="B34:B48"/>
    <mergeCell ref="C52:C54"/>
    <mergeCell ref="C45:E45"/>
    <mergeCell ref="B153:E153"/>
    <mergeCell ref="C131:C133"/>
    <mergeCell ref="C152:E152"/>
    <mergeCell ref="C171:C179"/>
    <mergeCell ref="C148:E148"/>
    <mergeCell ref="C134:E134"/>
    <mergeCell ref="C129:E129"/>
    <mergeCell ref="C116:K116"/>
    <mergeCell ref="B115:K115"/>
    <mergeCell ref="C170:K170"/>
    <mergeCell ref="C164:K164"/>
    <mergeCell ref="C155:K155"/>
    <mergeCell ref="B154:K154"/>
    <mergeCell ref="C149:K149"/>
    <mergeCell ref="C144:K144"/>
    <mergeCell ref="C140:K140"/>
    <mergeCell ref="C135:K135"/>
    <mergeCell ref="C130:K130"/>
    <mergeCell ref="C125:K125"/>
    <mergeCell ref="C180:E180"/>
    <mergeCell ref="B181:E181"/>
    <mergeCell ref="C163:E163"/>
    <mergeCell ref="C169:E169"/>
    <mergeCell ref="C165:C168"/>
    <mergeCell ref="C156:C162"/>
    <mergeCell ref="C188:K188"/>
    <mergeCell ref="B187:K187"/>
    <mergeCell ref="C183:K183"/>
    <mergeCell ref="B182:K182"/>
    <mergeCell ref="B186:E186"/>
    <mergeCell ref="B188:B190"/>
    <mergeCell ref="C272:C275"/>
    <mergeCell ref="C296:E296"/>
    <mergeCell ref="C263:E263"/>
    <mergeCell ref="C266:E266"/>
    <mergeCell ref="C195:E195"/>
    <mergeCell ref="C190:E190"/>
    <mergeCell ref="C227:K227"/>
    <mergeCell ref="B226:K226"/>
    <mergeCell ref="B219:B224"/>
    <mergeCell ref="C250:E250"/>
    <mergeCell ref="B253:B256"/>
    <mergeCell ref="C241:K241"/>
    <mergeCell ref="B240:K240"/>
    <mergeCell ref="C271:K271"/>
    <mergeCell ref="B270:K270"/>
    <mergeCell ref="B269:K269"/>
    <mergeCell ref="C264:K264"/>
    <mergeCell ref="C261:K261"/>
    <mergeCell ref="B260:K260"/>
    <mergeCell ref="B259:K259"/>
    <mergeCell ref="C253:K253"/>
    <mergeCell ref="B252:K252"/>
    <mergeCell ref="C248:K248"/>
    <mergeCell ref="C245:K245"/>
    <mergeCell ref="F3:K3"/>
    <mergeCell ref="D1:K1"/>
    <mergeCell ref="B389:E389"/>
    <mergeCell ref="B402:E402"/>
    <mergeCell ref="C314:E314"/>
    <mergeCell ref="C228:C232"/>
    <mergeCell ref="C306:E306"/>
    <mergeCell ref="B258:E258"/>
    <mergeCell ref="B257:E257"/>
    <mergeCell ref="C242:C243"/>
    <mergeCell ref="C247:E247"/>
    <mergeCell ref="B251:E251"/>
    <mergeCell ref="B239:E239"/>
    <mergeCell ref="C318:E318"/>
    <mergeCell ref="B321:B327"/>
    <mergeCell ref="C324:E324"/>
    <mergeCell ref="C289:E289"/>
    <mergeCell ref="C284:C288"/>
    <mergeCell ref="C291:C295"/>
    <mergeCell ref="B281:E281"/>
    <mergeCell ref="B283:B300"/>
    <mergeCell ref="B116:B152"/>
    <mergeCell ref="B155:B180"/>
    <mergeCell ref="B183:B185"/>
  </mergeCells>
  <conditionalFormatting sqref="B279 B142 B286:D286 B255 B323 B353 D142:G142 B289:I289 D323:G323 D279:G279 B280:I281 B362:I363 D255:G255 B365 B87:C87 E87:G87 B62:I62 B61:C61 C358:C359 D358:G361 B1:D1 E61:G61 B91:I91 B143:I143 B256:I258 B287:C288 F286:G288 B324:I324 B2:E3 B388:I389 B378:C378 B401:I403 B391:C391 B390 B377:I377 B369:C369 B367:B368 B366:E366 B354:E354 B357:C357 B355:B356 B14:I14 B6:C6 B4:B5 B36:I36 B34:C34 B33 B31:I32 B27:C27 B26:I26 B21:C21 B20:I20 B15:C15 B65:I65 B63:C63 B57:G60 B56:C56 B55:I55 B51:C51 B50 B48:I49 B46:C46 B45:I45 B43:C43 B42:I42 B40:C40 B39:I39 B37:C37 B124:I124 B116:C116 B115 B113:I114 B111:C111 B110:I110 B108:C108 B107:I107 B105:C105 B104:I104 B101:C101 B100:I100 B98:C98 B97:I97 B95:C95 B94:I94 B92:C92 B86:G86 B85:C85 B84 B82:I83 B80:C80 B79:I79 B76:C76 B75:I75 B71:C71 B70:I70 B66:C66 B348:I352 B346:C346 B345 B343:I344 B341:C341 B340:I340 B333:C333 B332:I332 B330:C330 B329 B327:I328 B325:C325 B322:G322 B321:C321 B320 B318:I319 B315:C315 B314:I314 B307:C307 B306:I306 B303:C303 B302 B300:I301 B297:C297 B296:I296 B290:C290 B284:G285 B283:C283 B282 B278:G278 B277:C277 B276:I276 B271:C271 B269:B270 B266:I268 B264:C264 B263:I263 B261:C261 B259:B260 B254:G254 B253:C253 B252 B250:I251 B248:C248 B247:I247 B245:C245 B244:I244 B241:C241 B240 B238:I239 B236:C236 B235 B233:I234 B227:C227 B226 B224:I225 B219:C219 B218 B216:I217 B213:C213 B212 B207:I208 B200:C200 B198:B199 B195:I197 B193:C193 B192 B190:I191 B188:C188 B187 B185:I186 B183:C183 B182 B180:I181 B170:C170 B169:I169 B164:C164 B163:I163 B155:C155 B154 B152:I153 B149:C149 B148:I148 B144:C144 B141:G141 B140:C140 B139:I139 B135:C135 B134:I134 B130:C130 B129:I129 B125:C125 B7:G13 I7:I13 B16:G19 I16:I19 B22:G25 I22:I25 B28:G30 I28:I30 B52:G54 I52:I54 B47:G47 I47 B44:G44 I44 B41:G41 I41 B35:G35 I35 B38:G38 I38 I57:I61 B67:G69 I67:I69 B64:G64 I64 B72:G74 I72:I74 B77:G78 I77:I78 B88:G90 I86:I90 B81:G81 I81 B93:G93 I93 B96:G96 I96 B99:G99 I99 B102:G103 I102:I103 B106:G106 I106 B109:G109 I109 B112:G112 I112 B117:G123 I117:I123 B126:G128 I126:I128 B131:G133 I131:I133 B136:G138 I136:I138 I141:I142 B145:G147 I145:I147 B150:G151 I150:I151 B156:G162 I156:I162 B165:G168 I165:I168 B171:G179 I171:I179 B201:G206 I201:I206 B194:G194 I194 B189:G189 I189 B184:G184 I184 B210:I211 B209:G209 I209 B214:G215 I214:I215 B220:G223 I220:I223 B228:G232 I228:I232 B242:G243 I242:I243 B237:G237 I237 B246:G246 I246 B249:G249 I249 I254:I255 B262:G262 I262 B265:G265 I265 B272:G275 I272:I275 I278:I279 I284:I288 B291:G295 I291:I295 B298:G299 I298:I299 B304:G305 I304:I305 B308:G313 I308:I313 B316:G317 I316:I317 I322:I323 B334:G339 I334:I339 B331:G331 I331 B326:G326 I326 B342:G342 I342 B347:G347 I347 I358:I361 B370:G376 I370:I376 B379:G387 I379:I387 B392:G400 I392:I400">
    <cfRule type="containsBlanks" dxfId="200" priority="102">
      <formula>LEN(TRIM(B1))=0</formula>
    </cfRule>
  </conditionalFormatting>
  <conditionalFormatting sqref="E286">
    <cfRule type="containsBlanks" dxfId="199" priority="93">
      <formula>LEN(TRIM(E286))=0</formula>
    </cfRule>
  </conditionalFormatting>
  <conditionalFormatting sqref="D87">
    <cfRule type="containsBlanks" dxfId="198" priority="80">
      <formula>LEN(TRIM(D87))=0</formula>
    </cfRule>
  </conditionalFormatting>
  <conditionalFormatting sqref="D61">
    <cfRule type="containsBlanks" dxfId="197" priority="79">
      <formula>LEN(TRIM(D61))=0</formula>
    </cfRule>
  </conditionalFormatting>
  <conditionalFormatting sqref="D287:D288">
    <cfRule type="containsBlanks" dxfId="196" priority="76">
      <formula>LEN(TRIM(D287))=0</formula>
    </cfRule>
  </conditionalFormatting>
  <conditionalFormatting sqref="E287:E288">
    <cfRule type="containsBlanks" dxfId="195" priority="75">
      <formula>LEN(TRIM(E287))=0</formula>
    </cfRule>
  </conditionalFormatting>
  <conditionalFormatting sqref="F2:K3">
    <cfRule type="containsBlanks" dxfId="194" priority="74" stopIfTrue="1">
      <formula>LEN(TRIM(F2))=0</formula>
    </cfRule>
  </conditionalFormatting>
  <conditionalFormatting sqref="J7:K14 J35:K36 J28:K32 J22:K26 J16:K20 J64:K65 J57:K62 J52:K55 J47:K49 J44:K45 J41:K42 J38:K39 J117:K124 J112:K114 J109:K110 J106:K107 J102:K104 J99:K100 J96:K97 J93:K94 J86:K91 J81:K83 J77:K79 J72:K75 J67:K70 J347:K351 J342:K344 J334:K340 J331:K332 J326:K328 J322:K324 J316:K319 J308:K314 J304:K306 J298:K301 J291:K296 J284:K289 J278:K281 J272:K276 J265:K268 J262:K263 J254:K258 J249:K251 J246:K247 J242:K244 J237:K239 J228:K234 J220:K225 J214:K217 J201:K211 J194:K197 J189:K191 J184:K186 J171:K181 J165:K169 J156:K163 J150:K153 J145:K148 J141:K143 J136:K139 J131:K134 J126:K129">
    <cfRule type="containsBlanks" dxfId="193" priority="73" stopIfTrue="1">
      <formula>LEN(TRIM(J7))=0</formula>
    </cfRule>
  </conditionalFormatting>
  <conditionalFormatting sqref="F366:K366">
    <cfRule type="containsBlanks" dxfId="192" priority="68" stopIfTrue="1">
      <formula>LEN(TRIM(F366))=0</formula>
    </cfRule>
  </conditionalFormatting>
  <conditionalFormatting sqref="J358:K364">
    <cfRule type="containsBlanks" dxfId="191" priority="72" stopIfTrue="1">
      <formula>LEN(TRIM(J358))=0</formula>
    </cfRule>
  </conditionalFormatting>
  <conditionalFormatting sqref="J370:K389">
    <cfRule type="containsBlanks" dxfId="190" priority="71" stopIfTrue="1">
      <formula>LEN(TRIM(J370))=0</formula>
    </cfRule>
  </conditionalFormatting>
  <conditionalFormatting sqref="J392:K403">
    <cfRule type="containsBlanks" dxfId="189" priority="70" stopIfTrue="1">
      <formula>LEN(TRIM(J392))=0</formula>
    </cfRule>
  </conditionalFormatting>
  <conditionalFormatting sqref="F354:K354">
    <cfRule type="containsBlanks" dxfId="188" priority="69" stopIfTrue="1">
      <formula>LEN(TRIM(F354))=0</formula>
    </cfRule>
  </conditionalFormatting>
  <conditionalFormatting sqref="H7:H13">
    <cfRule type="containsBlanks" dxfId="187" priority="67">
      <formula>LEN(TRIM(H7))=0</formula>
    </cfRule>
  </conditionalFormatting>
  <conditionalFormatting sqref="H16:H19">
    <cfRule type="containsBlanks" dxfId="186" priority="66">
      <formula>LEN(TRIM(H16))=0</formula>
    </cfRule>
  </conditionalFormatting>
  <conditionalFormatting sqref="H22:H25">
    <cfRule type="containsBlanks" dxfId="185" priority="65">
      <formula>LEN(TRIM(H22))=0</formula>
    </cfRule>
  </conditionalFormatting>
  <conditionalFormatting sqref="H28:H30">
    <cfRule type="containsBlanks" dxfId="184" priority="64">
      <formula>LEN(TRIM(H28))=0</formula>
    </cfRule>
  </conditionalFormatting>
  <conditionalFormatting sqref="H52:H54">
    <cfRule type="containsBlanks" dxfId="183" priority="63">
      <formula>LEN(TRIM(H52))=0</formula>
    </cfRule>
  </conditionalFormatting>
  <conditionalFormatting sqref="H47">
    <cfRule type="containsBlanks" dxfId="182" priority="62">
      <formula>LEN(TRIM(H47))=0</formula>
    </cfRule>
  </conditionalFormatting>
  <conditionalFormatting sqref="H44">
    <cfRule type="containsBlanks" dxfId="181" priority="61">
      <formula>LEN(TRIM(H44))=0</formula>
    </cfRule>
  </conditionalFormatting>
  <conditionalFormatting sqref="H41">
    <cfRule type="containsBlanks" dxfId="180" priority="60">
      <formula>LEN(TRIM(H41))=0</formula>
    </cfRule>
  </conditionalFormatting>
  <conditionalFormatting sqref="H35">
    <cfRule type="containsBlanks" dxfId="179" priority="59">
      <formula>LEN(TRIM(H35))=0</formula>
    </cfRule>
  </conditionalFormatting>
  <conditionalFormatting sqref="H38">
    <cfRule type="containsBlanks" dxfId="178" priority="58">
      <formula>LEN(TRIM(H38))=0</formula>
    </cfRule>
  </conditionalFormatting>
  <conditionalFormatting sqref="H57:H61">
    <cfRule type="containsBlanks" dxfId="177" priority="57">
      <formula>LEN(TRIM(H57))=0</formula>
    </cfRule>
  </conditionalFormatting>
  <conditionalFormatting sqref="H67:H69">
    <cfRule type="containsBlanks" dxfId="176" priority="56">
      <formula>LEN(TRIM(H67))=0</formula>
    </cfRule>
  </conditionalFormatting>
  <conditionalFormatting sqref="H64">
    <cfRule type="containsBlanks" dxfId="175" priority="55">
      <formula>LEN(TRIM(H64))=0</formula>
    </cfRule>
  </conditionalFormatting>
  <conditionalFormatting sqref="H72:H74">
    <cfRule type="containsBlanks" dxfId="174" priority="54">
      <formula>LEN(TRIM(H72))=0</formula>
    </cfRule>
  </conditionalFormatting>
  <conditionalFormatting sqref="H77:H78">
    <cfRule type="containsBlanks" dxfId="173" priority="53">
      <formula>LEN(TRIM(H77))=0</formula>
    </cfRule>
  </conditionalFormatting>
  <conditionalFormatting sqref="H86:H90">
    <cfRule type="containsBlanks" dxfId="172" priority="52">
      <formula>LEN(TRIM(H86))=0</formula>
    </cfRule>
  </conditionalFormatting>
  <conditionalFormatting sqref="H81">
    <cfRule type="containsBlanks" dxfId="171" priority="51">
      <formula>LEN(TRIM(H81))=0</formula>
    </cfRule>
  </conditionalFormatting>
  <conditionalFormatting sqref="H93">
    <cfRule type="containsBlanks" dxfId="170" priority="50">
      <formula>LEN(TRIM(H93))=0</formula>
    </cfRule>
  </conditionalFormatting>
  <conditionalFormatting sqref="H96">
    <cfRule type="containsBlanks" dxfId="169" priority="49">
      <formula>LEN(TRIM(H96))=0</formula>
    </cfRule>
  </conditionalFormatting>
  <conditionalFormatting sqref="H99">
    <cfRule type="containsBlanks" dxfId="168" priority="48">
      <formula>LEN(TRIM(H99))=0</formula>
    </cfRule>
  </conditionalFormatting>
  <conditionalFormatting sqref="H102:H103">
    <cfRule type="containsBlanks" dxfId="167" priority="47">
      <formula>LEN(TRIM(H102))=0</formula>
    </cfRule>
  </conditionalFormatting>
  <conditionalFormatting sqref="H106">
    <cfRule type="containsBlanks" dxfId="166" priority="46">
      <formula>LEN(TRIM(H106))=0</formula>
    </cfRule>
  </conditionalFormatting>
  <conditionalFormatting sqref="H109">
    <cfRule type="containsBlanks" dxfId="165" priority="45">
      <formula>LEN(TRIM(H109))=0</formula>
    </cfRule>
  </conditionalFormatting>
  <conditionalFormatting sqref="H112">
    <cfRule type="containsBlanks" dxfId="164" priority="44">
      <formula>LEN(TRIM(H112))=0</formula>
    </cfRule>
  </conditionalFormatting>
  <conditionalFormatting sqref="H117:H123">
    <cfRule type="containsBlanks" dxfId="163" priority="43">
      <formula>LEN(TRIM(H117))=0</formula>
    </cfRule>
  </conditionalFormatting>
  <conditionalFormatting sqref="H126:H128">
    <cfRule type="containsBlanks" dxfId="162" priority="42">
      <formula>LEN(TRIM(H126))=0</formula>
    </cfRule>
  </conditionalFormatting>
  <conditionalFormatting sqref="H131:H133">
    <cfRule type="containsBlanks" dxfId="161" priority="41">
      <formula>LEN(TRIM(H131))=0</formula>
    </cfRule>
  </conditionalFormatting>
  <conditionalFormatting sqref="H136:H138">
    <cfRule type="containsBlanks" dxfId="160" priority="40">
      <formula>LEN(TRIM(H136))=0</formula>
    </cfRule>
  </conditionalFormatting>
  <conditionalFormatting sqref="H141:H142">
    <cfRule type="containsBlanks" dxfId="159" priority="39">
      <formula>LEN(TRIM(H141))=0</formula>
    </cfRule>
  </conditionalFormatting>
  <conditionalFormatting sqref="H145:H147">
    <cfRule type="containsBlanks" dxfId="158" priority="38">
      <formula>LEN(TRIM(H145))=0</formula>
    </cfRule>
  </conditionalFormatting>
  <conditionalFormatting sqref="H150:H151">
    <cfRule type="containsBlanks" dxfId="157" priority="37">
      <formula>LEN(TRIM(H150))=0</formula>
    </cfRule>
  </conditionalFormatting>
  <conditionalFormatting sqref="H156:H162">
    <cfRule type="containsBlanks" dxfId="156" priority="36">
      <formula>LEN(TRIM(H156))=0</formula>
    </cfRule>
  </conditionalFormatting>
  <conditionalFormatting sqref="H165:H168">
    <cfRule type="containsBlanks" dxfId="155" priority="35">
      <formula>LEN(TRIM(H165))=0</formula>
    </cfRule>
  </conditionalFormatting>
  <conditionalFormatting sqref="H171:H179">
    <cfRule type="containsBlanks" dxfId="154" priority="34">
      <formula>LEN(TRIM(H171))=0</formula>
    </cfRule>
  </conditionalFormatting>
  <conditionalFormatting sqref="H201:H206">
    <cfRule type="containsBlanks" dxfId="153" priority="33">
      <formula>LEN(TRIM(H201))=0</formula>
    </cfRule>
  </conditionalFormatting>
  <conditionalFormatting sqref="H194">
    <cfRule type="containsBlanks" dxfId="152" priority="32">
      <formula>LEN(TRIM(H194))=0</formula>
    </cfRule>
  </conditionalFormatting>
  <conditionalFormatting sqref="H189">
    <cfRule type="containsBlanks" dxfId="151" priority="31">
      <formula>LEN(TRIM(H189))=0</formula>
    </cfRule>
  </conditionalFormatting>
  <conditionalFormatting sqref="H184">
    <cfRule type="containsBlanks" dxfId="150" priority="30">
      <formula>LEN(TRIM(H184))=0</formula>
    </cfRule>
  </conditionalFormatting>
  <conditionalFormatting sqref="H209">
    <cfRule type="containsBlanks" dxfId="149" priority="29">
      <formula>LEN(TRIM(H209))=0</formula>
    </cfRule>
  </conditionalFormatting>
  <conditionalFormatting sqref="H214:H215">
    <cfRule type="containsBlanks" dxfId="148" priority="28">
      <formula>LEN(TRIM(H214))=0</formula>
    </cfRule>
  </conditionalFormatting>
  <conditionalFormatting sqref="H220:H223">
    <cfRule type="containsBlanks" dxfId="147" priority="27">
      <formula>LEN(TRIM(H220))=0</formula>
    </cfRule>
  </conditionalFormatting>
  <conditionalFormatting sqref="H228:H232">
    <cfRule type="containsBlanks" dxfId="146" priority="26">
      <formula>LEN(TRIM(H228))=0</formula>
    </cfRule>
  </conditionalFormatting>
  <conditionalFormatting sqref="H242:H243">
    <cfRule type="containsBlanks" dxfId="145" priority="25">
      <formula>LEN(TRIM(H242))=0</formula>
    </cfRule>
  </conditionalFormatting>
  <conditionalFormatting sqref="H237">
    <cfRule type="containsBlanks" dxfId="144" priority="24">
      <formula>LEN(TRIM(H237))=0</formula>
    </cfRule>
  </conditionalFormatting>
  <conditionalFormatting sqref="H246">
    <cfRule type="containsBlanks" dxfId="143" priority="23">
      <formula>LEN(TRIM(H246))=0</formula>
    </cfRule>
  </conditionalFormatting>
  <conditionalFormatting sqref="H249">
    <cfRule type="containsBlanks" dxfId="142" priority="22">
      <formula>LEN(TRIM(H249))=0</formula>
    </cfRule>
  </conditionalFormatting>
  <conditionalFormatting sqref="H254:H255">
    <cfRule type="containsBlanks" dxfId="141" priority="21">
      <formula>LEN(TRIM(H254))=0</formula>
    </cfRule>
  </conditionalFormatting>
  <conditionalFormatting sqref="H262">
    <cfRule type="containsBlanks" dxfId="140" priority="20">
      <formula>LEN(TRIM(H262))=0</formula>
    </cfRule>
  </conditionalFormatting>
  <conditionalFormatting sqref="H265">
    <cfRule type="containsBlanks" dxfId="139" priority="19">
      <formula>LEN(TRIM(H265))=0</formula>
    </cfRule>
  </conditionalFormatting>
  <conditionalFormatting sqref="H272:H275">
    <cfRule type="containsBlanks" dxfId="138" priority="18">
      <formula>LEN(TRIM(H272))=0</formula>
    </cfRule>
  </conditionalFormatting>
  <conditionalFormatting sqref="H278:H279">
    <cfRule type="containsBlanks" dxfId="137" priority="17">
      <formula>LEN(TRIM(H278))=0</formula>
    </cfRule>
  </conditionalFormatting>
  <conditionalFormatting sqref="H284:H288">
    <cfRule type="containsBlanks" dxfId="136" priority="16">
      <formula>LEN(TRIM(H284))=0</formula>
    </cfRule>
  </conditionalFormatting>
  <conditionalFormatting sqref="H291:H295">
    <cfRule type="containsBlanks" dxfId="135" priority="15">
      <formula>LEN(TRIM(H291))=0</formula>
    </cfRule>
  </conditionalFormatting>
  <conditionalFormatting sqref="H298:H299">
    <cfRule type="containsBlanks" dxfId="134" priority="14">
      <formula>LEN(TRIM(H298))=0</formula>
    </cfRule>
  </conditionalFormatting>
  <conditionalFormatting sqref="H304:H305">
    <cfRule type="containsBlanks" dxfId="133" priority="13">
      <formula>LEN(TRIM(H304))=0</formula>
    </cfRule>
  </conditionalFormatting>
  <conditionalFormatting sqref="H308:H313">
    <cfRule type="containsBlanks" dxfId="132" priority="12">
      <formula>LEN(TRIM(H308))=0</formula>
    </cfRule>
  </conditionalFormatting>
  <conditionalFormatting sqref="H316:H317">
    <cfRule type="containsBlanks" dxfId="131" priority="11">
      <formula>LEN(TRIM(H316))=0</formula>
    </cfRule>
  </conditionalFormatting>
  <conditionalFormatting sqref="H322:H323">
    <cfRule type="containsBlanks" dxfId="130" priority="10">
      <formula>LEN(TRIM(H322))=0</formula>
    </cfRule>
  </conditionalFormatting>
  <conditionalFormatting sqref="H334:H339">
    <cfRule type="containsBlanks" dxfId="129" priority="9">
      <formula>LEN(TRIM(H334))=0</formula>
    </cfRule>
  </conditionalFormatting>
  <conditionalFormatting sqref="H331">
    <cfRule type="containsBlanks" dxfId="128" priority="8">
      <formula>LEN(TRIM(H331))=0</formula>
    </cfRule>
  </conditionalFormatting>
  <conditionalFormatting sqref="H326">
    <cfRule type="containsBlanks" dxfId="127" priority="7">
      <formula>LEN(TRIM(H326))=0</formula>
    </cfRule>
  </conditionalFormatting>
  <conditionalFormatting sqref="H342">
    <cfRule type="containsBlanks" dxfId="126" priority="6">
      <formula>LEN(TRIM(H342))=0</formula>
    </cfRule>
  </conditionalFormatting>
  <conditionalFormatting sqref="H347">
    <cfRule type="containsBlanks" dxfId="125" priority="5">
      <formula>LEN(TRIM(H347))=0</formula>
    </cfRule>
  </conditionalFormatting>
  <conditionalFormatting sqref="H358:H361">
    <cfRule type="containsBlanks" dxfId="124" priority="4">
      <formula>LEN(TRIM(H358))=0</formula>
    </cfRule>
  </conditionalFormatting>
  <conditionalFormatting sqref="H370:H376">
    <cfRule type="containsBlanks" dxfId="123" priority="3">
      <formula>LEN(TRIM(H370))=0</formula>
    </cfRule>
  </conditionalFormatting>
  <conditionalFormatting sqref="H379:H387">
    <cfRule type="containsBlanks" dxfId="122" priority="2">
      <formula>LEN(TRIM(H379))=0</formula>
    </cfRule>
  </conditionalFormatting>
  <conditionalFormatting sqref="H392:H400">
    <cfRule type="containsBlanks" dxfId="121" priority="1">
      <formula>LEN(TRIM(H392))=0</formula>
    </cfRule>
  </conditionalFormatting>
  <pageMargins left="0.15748031496062992" right="0.86614173228346458" top="0.27559055118110237" bottom="0.27559055118110237" header="0.19685039370078741" footer="0.19685039370078741"/>
  <pageSetup paperSize="9" scale="62" orientation="portrait" r:id="rId1"/>
  <headerFooter>
    <oddFooter xml:space="preserve">&amp;C
</oddFooter>
  </headerFooter>
  <rowBreaks count="5" manualBreakCount="5">
    <brk id="83" max="10" man="1"/>
    <brk id="153" max="10" man="1"/>
    <brk id="197" max="10" man="1"/>
    <brk id="268" max="16383" man="1"/>
    <brk id="35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00CC"/>
  </sheetPr>
  <dimension ref="B1:N488"/>
  <sheetViews>
    <sheetView rightToLeft="1" view="pageBreakPreview" zoomScale="60" zoomScaleNormal="100" workbookViewId="0">
      <pane ySplit="3" topLeftCell="A368" activePane="bottomLeft" state="frozen"/>
      <selection activeCell="D300" sqref="D300"/>
      <selection pane="bottomLeft" activeCell="F474" sqref="F474"/>
    </sheetView>
  </sheetViews>
  <sheetFormatPr defaultRowHeight="14.25" x14ac:dyDescent="0.2"/>
  <cols>
    <col min="1" max="1" width="2.375" customWidth="1"/>
    <col min="2" max="2" width="22.25" style="66" customWidth="1"/>
    <col min="3" max="4" width="4" style="17" bestFit="1" customWidth="1"/>
    <col min="5" max="5" width="9" style="38" bestFit="1" customWidth="1"/>
    <col min="6" max="6" width="45.125" style="76" bestFit="1" customWidth="1"/>
    <col min="7" max="9" width="9.875" style="17" bestFit="1" customWidth="1"/>
    <col min="10" max="10" width="8.875" style="17" bestFit="1" customWidth="1"/>
    <col min="11" max="11" width="7.75" style="17" bestFit="1" customWidth="1"/>
    <col min="12" max="12" width="8.75" style="17" bestFit="1" customWidth="1"/>
    <col min="13" max="13" width="10.125" bestFit="1" customWidth="1"/>
  </cols>
  <sheetData>
    <row r="1" spans="2:12" s="86" customFormat="1" ht="12.75" x14ac:dyDescent="0.2">
      <c r="B1" s="420" t="s">
        <v>803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</row>
    <row r="2" spans="2:12" s="86" customFormat="1" ht="38.25" x14ac:dyDescent="0.2">
      <c r="B2" s="311" t="s">
        <v>326</v>
      </c>
      <c r="C2" s="308" t="s">
        <v>327</v>
      </c>
      <c r="D2" s="308"/>
      <c r="E2" s="314" t="s">
        <v>328</v>
      </c>
      <c r="F2" s="311" t="s">
        <v>329</v>
      </c>
      <c r="G2" s="192" t="s">
        <v>520</v>
      </c>
      <c r="H2" s="192" t="s">
        <v>521</v>
      </c>
      <c r="I2" s="192" t="s">
        <v>522</v>
      </c>
      <c r="J2" s="191" t="s">
        <v>523</v>
      </c>
      <c r="K2" s="190" t="s">
        <v>801</v>
      </c>
      <c r="L2" s="190" t="s">
        <v>802</v>
      </c>
    </row>
    <row r="3" spans="2:12" s="86" customFormat="1" ht="14.25" customHeight="1" x14ac:dyDescent="0.2">
      <c r="B3" s="311"/>
      <c r="C3" s="308"/>
      <c r="D3" s="308"/>
      <c r="E3" s="314"/>
      <c r="F3" s="311"/>
      <c r="G3" s="328">
        <v>2020</v>
      </c>
      <c r="H3" s="328"/>
      <c r="I3" s="328"/>
      <c r="J3" s="328"/>
      <c r="K3" s="328"/>
      <c r="L3" s="328"/>
    </row>
    <row r="4" spans="2:12" s="37" customFormat="1" hidden="1" x14ac:dyDescent="0.2">
      <c r="B4" s="127"/>
      <c r="C4" s="70"/>
      <c r="D4" s="70"/>
      <c r="E4" s="70"/>
      <c r="F4" s="72"/>
      <c r="G4" s="71"/>
      <c r="H4" s="71"/>
      <c r="I4" s="72"/>
      <c r="J4" s="71"/>
      <c r="K4" s="213"/>
      <c r="L4" s="213"/>
    </row>
    <row r="5" spans="2:12" s="20" customFormat="1" x14ac:dyDescent="0.2">
      <c r="B5" s="362" t="s">
        <v>330</v>
      </c>
      <c r="C5" s="363">
        <v>1</v>
      </c>
      <c r="D5" s="363">
        <v>0</v>
      </c>
      <c r="E5" s="95">
        <v>20103001</v>
      </c>
      <c r="F5" s="80" t="s">
        <v>331</v>
      </c>
      <c r="G5" s="129">
        <v>65000</v>
      </c>
      <c r="H5" s="129">
        <v>65000</v>
      </c>
      <c r="I5" s="177">
        <v>57735.188000000002</v>
      </c>
      <c r="J5" s="129">
        <v>0</v>
      </c>
      <c r="K5" s="167">
        <f>IFERROR(I5/H5,"")</f>
        <v>0.88823366153846162</v>
      </c>
      <c r="L5" s="168">
        <f t="shared" ref="L5:L36" si="0">IFERROR(I5/$H$438,"")</f>
        <v>1.6161456723771134E-3</v>
      </c>
    </row>
    <row r="6" spans="2:12" s="20" customFormat="1" x14ac:dyDescent="0.2">
      <c r="B6" s="362"/>
      <c r="C6" s="363"/>
      <c r="D6" s="363"/>
      <c r="E6" s="95">
        <v>23603001</v>
      </c>
      <c r="F6" s="80" t="s">
        <v>62</v>
      </c>
      <c r="G6" s="129">
        <v>12000</v>
      </c>
      <c r="H6" s="129">
        <v>12000</v>
      </c>
      <c r="I6" s="177">
        <v>2140.3789999999999</v>
      </c>
      <c r="J6" s="129">
        <v>0</v>
      </c>
      <c r="K6" s="167">
        <f t="shared" ref="K6:K61" si="1">IFERROR(I6/H6,"")</f>
        <v>0.17836491666666665</v>
      </c>
      <c r="L6" s="168">
        <f t="shared" si="0"/>
        <v>5.9914315306236703E-5</v>
      </c>
    </row>
    <row r="7" spans="2:12" s="20" customFormat="1" x14ac:dyDescent="0.2">
      <c r="B7" s="362"/>
      <c r="C7" s="363"/>
      <c r="D7" s="363"/>
      <c r="E7" s="95">
        <v>23603004</v>
      </c>
      <c r="F7" s="80" t="s">
        <v>332</v>
      </c>
      <c r="G7" s="129">
        <v>3000</v>
      </c>
      <c r="H7" s="129">
        <v>3000</v>
      </c>
      <c r="I7" s="177">
        <v>1043.3900000000001</v>
      </c>
      <c r="J7" s="129">
        <v>0</v>
      </c>
      <c r="K7" s="167">
        <f t="shared" si="1"/>
        <v>0.3477966666666667</v>
      </c>
      <c r="L7" s="168">
        <f t="shared" si="0"/>
        <v>2.9206975702608892E-5</v>
      </c>
    </row>
    <row r="8" spans="2:12" s="20" customFormat="1" x14ac:dyDescent="0.2">
      <c r="B8" s="362"/>
      <c r="C8" s="363"/>
      <c r="D8" s="363"/>
      <c r="E8" s="364" t="s">
        <v>333</v>
      </c>
      <c r="F8" s="364"/>
      <c r="G8" s="62">
        <f>SUM(G5:G7)</f>
        <v>80000</v>
      </c>
      <c r="H8" s="62">
        <f t="shared" ref="H8:J8" si="2">SUM(H5:H7)</f>
        <v>80000</v>
      </c>
      <c r="I8" s="62">
        <f t="shared" si="2"/>
        <v>60918.957000000002</v>
      </c>
      <c r="J8" s="62">
        <f t="shared" si="2"/>
        <v>0</v>
      </c>
      <c r="K8" s="167">
        <f t="shared" si="1"/>
        <v>0.76148696250000003</v>
      </c>
      <c r="L8" s="168">
        <f t="shared" si="0"/>
        <v>1.7052669633859591E-3</v>
      </c>
    </row>
    <row r="9" spans="2:12" s="20" customFormat="1" x14ac:dyDescent="0.2">
      <c r="B9" s="361" t="s">
        <v>334</v>
      </c>
      <c r="C9" s="361"/>
      <c r="D9" s="361"/>
      <c r="E9" s="361"/>
      <c r="F9" s="361"/>
      <c r="G9" s="49">
        <f t="shared" ref="G9" si="3">G8</f>
        <v>80000</v>
      </c>
      <c r="H9" s="49">
        <f t="shared" ref="H9:J9" si="4">H8</f>
        <v>80000</v>
      </c>
      <c r="I9" s="49">
        <f t="shared" si="4"/>
        <v>60918.957000000002</v>
      </c>
      <c r="J9" s="49">
        <f t="shared" si="4"/>
        <v>0</v>
      </c>
      <c r="K9" s="167">
        <f t="shared" si="1"/>
        <v>0.76148696250000003</v>
      </c>
      <c r="L9" s="168">
        <f t="shared" si="0"/>
        <v>1.7052669633859591E-3</v>
      </c>
    </row>
    <row r="10" spans="2:12" s="20" customFormat="1" x14ac:dyDescent="0.2">
      <c r="B10" s="362" t="s">
        <v>576</v>
      </c>
      <c r="C10" s="363">
        <v>1</v>
      </c>
      <c r="D10" s="363">
        <v>1</v>
      </c>
      <c r="E10" s="13">
        <v>20103001</v>
      </c>
      <c r="F10" s="40" t="s">
        <v>331</v>
      </c>
      <c r="G10" s="129">
        <v>135000</v>
      </c>
      <c r="H10" s="129">
        <v>120000</v>
      </c>
      <c r="I10" s="177">
        <v>105702.417</v>
      </c>
      <c r="J10" s="129">
        <v>0</v>
      </c>
      <c r="K10" s="167">
        <f t="shared" si="1"/>
        <v>0.880853475</v>
      </c>
      <c r="L10" s="168">
        <f t="shared" si="0"/>
        <v>2.9588628653006385E-3</v>
      </c>
    </row>
    <row r="11" spans="2:12" s="20" customFormat="1" x14ac:dyDescent="0.2">
      <c r="B11" s="362"/>
      <c r="C11" s="363"/>
      <c r="D11" s="363"/>
      <c r="E11" s="13">
        <v>21606003</v>
      </c>
      <c r="F11" s="40" t="s">
        <v>41</v>
      </c>
      <c r="G11" s="129">
        <v>500</v>
      </c>
      <c r="H11" s="129">
        <v>500</v>
      </c>
      <c r="I11" s="177"/>
      <c r="J11" s="129">
        <v>0</v>
      </c>
      <c r="K11" s="167">
        <f t="shared" si="1"/>
        <v>0</v>
      </c>
      <c r="L11" s="168">
        <f t="shared" si="0"/>
        <v>0</v>
      </c>
    </row>
    <row r="12" spans="2:12" s="20" customFormat="1" x14ac:dyDescent="0.2">
      <c r="B12" s="362"/>
      <c r="C12" s="363"/>
      <c r="D12" s="363"/>
      <c r="E12" s="13">
        <v>23603002</v>
      </c>
      <c r="F12" s="40" t="s">
        <v>63</v>
      </c>
      <c r="G12" s="129">
        <v>75</v>
      </c>
      <c r="H12" s="129">
        <v>75</v>
      </c>
      <c r="I12" s="177">
        <v>75</v>
      </c>
      <c r="J12" s="129">
        <v>0</v>
      </c>
      <c r="K12" s="167">
        <f t="shared" si="1"/>
        <v>1</v>
      </c>
      <c r="L12" s="168">
        <f t="shared" si="0"/>
        <v>2.0994289553241517E-6</v>
      </c>
    </row>
    <row r="13" spans="2:12" s="20" customFormat="1" x14ac:dyDescent="0.2">
      <c r="B13" s="362"/>
      <c r="C13" s="363"/>
      <c r="D13" s="363"/>
      <c r="E13" s="95">
        <v>23605001</v>
      </c>
      <c r="F13" s="80" t="s">
        <v>65</v>
      </c>
      <c r="G13" s="129">
        <v>10000</v>
      </c>
      <c r="H13" s="129">
        <v>10000</v>
      </c>
      <c r="I13" s="177">
        <v>9121.1239999999998</v>
      </c>
      <c r="J13" s="129">
        <v>0</v>
      </c>
      <c r="K13" s="167">
        <f t="shared" si="1"/>
        <v>0.91211239999999993</v>
      </c>
      <c r="L13" s="168">
        <f t="shared" si="0"/>
        <v>2.5532202440936065E-4</v>
      </c>
    </row>
    <row r="14" spans="2:12" s="20" customFormat="1" x14ac:dyDescent="0.2">
      <c r="B14" s="362"/>
      <c r="C14" s="363"/>
      <c r="D14" s="363"/>
      <c r="E14" s="95">
        <v>23605002</v>
      </c>
      <c r="F14" s="80" t="s">
        <v>452</v>
      </c>
      <c r="G14" s="129">
        <v>1000</v>
      </c>
      <c r="H14" s="129">
        <v>1000</v>
      </c>
      <c r="I14" s="177">
        <v>999.93600000000004</v>
      </c>
      <c r="J14" s="129">
        <v>0</v>
      </c>
      <c r="K14" s="167">
        <f t="shared" si="1"/>
        <v>0.99993600000000005</v>
      </c>
      <c r="L14" s="168">
        <f t="shared" si="0"/>
        <v>2.799059455828015E-5</v>
      </c>
    </row>
    <row r="15" spans="2:12" s="20" customFormat="1" x14ac:dyDescent="0.2">
      <c r="B15" s="362"/>
      <c r="C15" s="363"/>
      <c r="D15" s="363"/>
      <c r="E15" s="364" t="s">
        <v>333</v>
      </c>
      <c r="F15" s="364"/>
      <c r="G15" s="62">
        <f>SUM(G10:G14)</f>
        <v>146575</v>
      </c>
      <c r="H15" s="62">
        <f t="shared" ref="H15:J15" si="5">SUM(H10:H14)</f>
        <v>131575</v>
      </c>
      <c r="I15" s="62">
        <f t="shared" si="5"/>
        <v>115898.477</v>
      </c>
      <c r="J15" s="62">
        <f t="shared" si="5"/>
        <v>0</v>
      </c>
      <c r="K15" s="167">
        <f t="shared" si="1"/>
        <v>0.88085485084552539</v>
      </c>
      <c r="L15" s="168">
        <f t="shared" si="0"/>
        <v>3.2442749132236032E-3</v>
      </c>
    </row>
    <row r="16" spans="2:12" s="20" customFormat="1" x14ac:dyDescent="0.2">
      <c r="B16" s="362"/>
      <c r="C16" s="363"/>
      <c r="D16" s="363"/>
      <c r="E16" s="13">
        <v>25401007</v>
      </c>
      <c r="F16" s="40" t="s">
        <v>99</v>
      </c>
      <c r="G16" s="129">
        <v>500</v>
      </c>
      <c r="H16" s="129">
        <v>500</v>
      </c>
      <c r="I16" s="177"/>
      <c r="J16" s="129">
        <v>0</v>
      </c>
      <c r="K16" s="167">
        <f t="shared" si="1"/>
        <v>0</v>
      </c>
      <c r="L16" s="168">
        <f t="shared" si="0"/>
        <v>0</v>
      </c>
    </row>
    <row r="17" spans="2:13" s="20" customFormat="1" x14ac:dyDescent="0.2">
      <c r="B17" s="362"/>
      <c r="C17" s="363"/>
      <c r="D17" s="363"/>
      <c r="E17" s="319" t="s">
        <v>335</v>
      </c>
      <c r="F17" s="319"/>
      <c r="G17" s="57">
        <f>SUM(G16)</f>
        <v>500</v>
      </c>
      <c r="H17" s="57">
        <f t="shared" ref="H17:J17" si="6">SUM(H16)</f>
        <v>500</v>
      </c>
      <c r="I17" s="57">
        <f t="shared" si="6"/>
        <v>0</v>
      </c>
      <c r="J17" s="57">
        <f t="shared" si="6"/>
        <v>0</v>
      </c>
      <c r="K17" s="167">
        <f t="shared" si="1"/>
        <v>0</v>
      </c>
      <c r="L17" s="168">
        <f t="shared" si="0"/>
        <v>0</v>
      </c>
    </row>
    <row r="18" spans="2:13" s="20" customFormat="1" x14ac:dyDescent="0.2">
      <c r="B18" s="362"/>
      <c r="C18" s="363"/>
      <c r="D18" s="363"/>
      <c r="E18" s="95">
        <v>26201053</v>
      </c>
      <c r="F18" s="80" t="s">
        <v>476</v>
      </c>
      <c r="G18" s="129">
        <v>9500</v>
      </c>
      <c r="H18" s="129">
        <v>29500</v>
      </c>
      <c r="I18" s="177">
        <v>28992</v>
      </c>
      <c r="J18" s="129">
        <v>0</v>
      </c>
      <c r="K18" s="167">
        <f t="shared" si="1"/>
        <v>0.98277966101694914</v>
      </c>
      <c r="L18" s="168">
        <f t="shared" si="0"/>
        <v>8.115552569701041E-4</v>
      </c>
    </row>
    <row r="19" spans="2:13" s="20" customFormat="1" x14ac:dyDescent="0.2">
      <c r="B19" s="362"/>
      <c r="C19" s="363"/>
      <c r="D19" s="363"/>
      <c r="E19" s="95">
        <v>26302004</v>
      </c>
      <c r="F19" s="80" t="s">
        <v>6</v>
      </c>
      <c r="G19" s="129">
        <v>1000</v>
      </c>
      <c r="H19" s="129">
        <v>1000</v>
      </c>
      <c r="I19" s="177">
        <v>8</v>
      </c>
      <c r="J19" s="129">
        <v>0</v>
      </c>
      <c r="K19" s="167">
        <f t="shared" si="1"/>
        <v>8.0000000000000002E-3</v>
      </c>
      <c r="L19" s="168">
        <f t="shared" si="0"/>
        <v>2.2393908856790952E-7</v>
      </c>
    </row>
    <row r="20" spans="2:13" s="20" customFormat="1" x14ac:dyDescent="0.2">
      <c r="B20" s="362"/>
      <c r="C20" s="363"/>
      <c r="D20" s="363"/>
      <c r="E20" s="95">
        <v>26402005</v>
      </c>
      <c r="F20" s="80" t="s">
        <v>306</v>
      </c>
      <c r="G20" s="129">
        <v>5000</v>
      </c>
      <c r="H20" s="129">
        <v>5000</v>
      </c>
      <c r="I20" s="177"/>
      <c r="J20" s="129">
        <v>0</v>
      </c>
      <c r="K20" s="167">
        <f t="shared" si="1"/>
        <v>0</v>
      </c>
      <c r="L20" s="168">
        <f t="shared" si="0"/>
        <v>0</v>
      </c>
      <c r="M20" s="109"/>
    </row>
    <row r="21" spans="2:13" s="20" customFormat="1" x14ac:dyDescent="0.2">
      <c r="B21" s="362"/>
      <c r="C21" s="363"/>
      <c r="D21" s="363"/>
      <c r="E21" s="330" t="s">
        <v>336</v>
      </c>
      <c r="F21" s="330"/>
      <c r="G21" s="52">
        <f>SUM(G18:G20)</f>
        <v>15500</v>
      </c>
      <c r="H21" s="52">
        <f t="shared" ref="H21:J21" si="7">SUM(H18:H20)</f>
        <v>35500</v>
      </c>
      <c r="I21" s="52">
        <f t="shared" si="7"/>
        <v>29000</v>
      </c>
      <c r="J21" s="52">
        <f t="shared" si="7"/>
        <v>0</v>
      </c>
      <c r="K21" s="167">
        <f t="shared" si="1"/>
        <v>0.81690140845070425</v>
      </c>
      <c r="L21" s="168">
        <f t="shared" si="0"/>
        <v>8.11779196058672E-4</v>
      </c>
    </row>
    <row r="22" spans="2:13" s="20" customFormat="1" x14ac:dyDescent="0.2">
      <c r="B22" s="361" t="s">
        <v>334</v>
      </c>
      <c r="C22" s="361"/>
      <c r="D22" s="361"/>
      <c r="E22" s="361"/>
      <c r="F22" s="361"/>
      <c r="G22" s="49">
        <f>G15+G17+G21</f>
        <v>162575</v>
      </c>
      <c r="H22" s="49">
        <f t="shared" ref="H22:J22" si="8">H15+H17+H21</f>
        <v>167575</v>
      </c>
      <c r="I22" s="49">
        <f t="shared" si="8"/>
        <v>144898.47700000001</v>
      </c>
      <c r="J22" s="49">
        <f t="shared" si="8"/>
        <v>0</v>
      </c>
      <c r="K22" s="167">
        <f t="shared" si="1"/>
        <v>0.86467836491123384</v>
      </c>
      <c r="L22" s="168">
        <f t="shared" si="0"/>
        <v>4.0560541092822758E-3</v>
      </c>
    </row>
    <row r="23" spans="2:13" s="20" customFormat="1" x14ac:dyDescent="0.2">
      <c r="B23" s="362" t="s">
        <v>337</v>
      </c>
      <c r="C23" s="363">
        <v>1</v>
      </c>
      <c r="D23" s="363">
        <v>2</v>
      </c>
      <c r="E23" s="13">
        <v>20103001</v>
      </c>
      <c r="F23" s="40" t="s">
        <v>331</v>
      </c>
      <c r="G23" s="129">
        <v>112000</v>
      </c>
      <c r="H23" s="129">
        <v>112000</v>
      </c>
      <c r="I23" s="177">
        <v>96063.206000000006</v>
      </c>
      <c r="J23" s="129">
        <v>0</v>
      </c>
      <c r="K23" s="167">
        <f t="shared" si="1"/>
        <v>0.85770719642857152</v>
      </c>
      <c r="L23" s="168">
        <f t="shared" si="0"/>
        <v>2.6890383495689176E-3</v>
      </c>
    </row>
    <row r="24" spans="2:13" s="20" customFormat="1" x14ac:dyDescent="0.2">
      <c r="B24" s="362"/>
      <c r="C24" s="363"/>
      <c r="D24" s="363"/>
      <c r="E24" s="13">
        <v>23603002</v>
      </c>
      <c r="F24" s="40" t="s">
        <v>63</v>
      </c>
      <c r="G24" s="129">
        <v>75</v>
      </c>
      <c r="H24" s="129">
        <v>75</v>
      </c>
      <c r="I24" s="177">
        <v>75</v>
      </c>
      <c r="J24" s="129">
        <v>0</v>
      </c>
      <c r="K24" s="167">
        <f t="shared" si="1"/>
        <v>1</v>
      </c>
      <c r="L24" s="168">
        <f t="shared" si="0"/>
        <v>2.0994289553241517E-6</v>
      </c>
    </row>
    <row r="25" spans="2:13" s="20" customFormat="1" x14ac:dyDescent="0.2">
      <c r="B25" s="362"/>
      <c r="C25" s="363"/>
      <c r="D25" s="363"/>
      <c r="E25" s="364" t="s">
        <v>333</v>
      </c>
      <c r="F25" s="364"/>
      <c r="G25" s="62">
        <f>SUM(G23:G24)</f>
        <v>112075</v>
      </c>
      <c r="H25" s="62">
        <f t="shared" ref="H25:J25" si="9">SUM(H23:H24)</f>
        <v>112075</v>
      </c>
      <c r="I25" s="62">
        <f t="shared" si="9"/>
        <v>96138.206000000006</v>
      </c>
      <c r="J25" s="62">
        <f t="shared" si="9"/>
        <v>0</v>
      </c>
      <c r="K25" s="167">
        <f t="shared" si="1"/>
        <v>0.85780241802364499</v>
      </c>
      <c r="L25" s="168">
        <f t="shared" si="0"/>
        <v>2.6911377785242417E-3</v>
      </c>
    </row>
    <row r="26" spans="2:13" s="20" customFormat="1" x14ac:dyDescent="0.2">
      <c r="B26" s="361" t="s">
        <v>334</v>
      </c>
      <c r="C26" s="361"/>
      <c r="D26" s="361"/>
      <c r="E26" s="361"/>
      <c r="F26" s="361"/>
      <c r="G26" s="49">
        <f>G25</f>
        <v>112075</v>
      </c>
      <c r="H26" s="49">
        <f t="shared" ref="H26:J26" si="10">H25</f>
        <v>112075</v>
      </c>
      <c r="I26" s="49">
        <f t="shared" si="10"/>
        <v>96138.206000000006</v>
      </c>
      <c r="J26" s="49">
        <f t="shared" si="10"/>
        <v>0</v>
      </c>
      <c r="K26" s="167">
        <f t="shared" si="1"/>
        <v>0.85780241802364499</v>
      </c>
      <c r="L26" s="168">
        <f t="shared" si="0"/>
        <v>2.6911377785242417E-3</v>
      </c>
    </row>
    <row r="27" spans="2:13" s="20" customFormat="1" x14ac:dyDescent="0.2">
      <c r="B27" s="365" t="s">
        <v>338</v>
      </c>
      <c r="C27" s="366">
        <v>1</v>
      </c>
      <c r="D27" s="366">
        <v>3</v>
      </c>
      <c r="E27" s="13">
        <v>20103001</v>
      </c>
      <c r="F27" s="40" t="s">
        <v>331</v>
      </c>
      <c r="G27" s="129">
        <v>50000</v>
      </c>
      <c r="H27" s="129">
        <v>50000</v>
      </c>
      <c r="I27" s="177">
        <v>46508.487999999998</v>
      </c>
      <c r="J27" s="129">
        <v>0</v>
      </c>
      <c r="K27" s="167">
        <f t="shared" si="1"/>
        <v>0.93016975999999996</v>
      </c>
      <c r="L27" s="168">
        <f t="shared" si="0"/>
        <v>1.3018835516739446E-3</v>
      </c>
    </row>
    <row r="28" spans="2:13" s="20" customFormat="1" x14ac:dyDescent="0.2">
      <c r="B28" s="365"/>
      <c r="C28" s="366"/>
      <c r="D28" s="366"/>
      <c r="E28" s="13">
        <v>23603002</v>
      </c>
      <c r="F28" s="40" t="s">
        <v>63</v>
      </c>
      <c r="G28" s="129">
        <v>75</v>
      </c>
      <c r="H28" s="129">
        <v>75</v>
      </c>
      <c r="I28" s="177">
        <v>75</v>
      </c>
      <c r="J28" s="129">
        <v>0</v>
      </c>
      <c r="K28" s="167">
        <f t="shared" si="1"/>
        <v>1</v>
      </c>
      <c r="L28" s="168">
        <f t="shared" si="0"/>
        <v>2.0994289553241517E-6</v>
      </c>
    </row>
    <row r="29" spans="2:13" s="20" customFormat="1" x14ac:dyDescent="0.2">
      <c r="B29" s="365"/>
      <c r="C29" s="366"/>
      <c r="D29" s="366"/>
      <c r="E29" s="364" t="s">
        <v>333</v>
      </c>
      <c r="F29" s="364"/>
      <c r="G29" s="62">
        <f>SUM(G27:G28)</f>
        <v>50075</v>
      </c>
      <c r="H29" s="62">
        <f t="shared" ref="H29:J29" si="11">SUM(H27:H28)</f>
        <v>50075</v>
      </c>
      <c r="I29" s="62">
        <f t="shared" si="11"/>
        <v>46583.487999999998</v>
      </c>
      <c r="J29" s="62">
        <f t="shared" si="11"/>
        <v>0</v>
      </c>
      <c r="K29" s="167">
        <f t="shared" si="1"/>
        <v>0.93027434847728407</v>
      </c>
      <c r="L29" s="168">
        <f t="shared" si="0"/>
        <v>1.3039829806292687E-3</v>
      </c>
    </row>
    <row r="30" spans="2:13" s="20" customFormat="1" x14ac:dyDescent="0.2">
      <c r="B30" s="365"/>
      <c r="C30" s="366"/>
      <c r="D30" s="366"/>
      <c r="E30" s="13">
        <v>25101011</v>
      </c>
      <c r="F30" s="40" t="s">
        <v>97</v>
      </c>
      <c r="G30" s="129">
        <v>30000</v>
      </c>
      <c r="H30" s="129">
        <v>40000</v>
      </c>
      <c r="I30" s="177">
        <v>33133.493999999999</v>
      </c>
      <c r="J30" s="129">
        <v>0</v>
      </c>
      <c r="K30" s="167">
        <f t="shared" si="1"/>
        <v>0.82833734999999997</v>
      </c>
      <c r="L30" s="168">
        <f t="shared" si="0"/>
        <v>9.274855559287873E-4</v>
      </c>
    </row>
    <row r="31" spans="2:13" s="20" customFormat="1" x14ac:dyDescent="0.2">
      <c r="B31" s="365"/>
      <c r="C31" s="366"/>
      <c r="D31" s="366"/>
      <c r="E31" s="319" t="s">
        <v>335</v>
      </c>
      <c r="F31" s="319"/>
      <c r="G31" s="57">
        <f t="shared" ref="G31" si="12">SUM(G30:G30)</f>
        <v>30000</v>
      </c>
      <c r="H31" s="57">
        <f t="shared" ref="H31:J31" si="13">SUM(H30:H30)</f>
        <v>40000</v>
      </c>
      <c r="I31" s="57">
        <f t="shared" si="13"/>
        <v>33133.493999999999</v>
      </c>
      <c r="J31" s="57">
        <f t="shared" si="13"/>
        <v>0</v>
      </c>
      <c r="K31" s="167">
        <f t="shared" si="1"/>
        <v>0.82833734999999997</v>
      </c>
      <c r="L31" s="168">
        <f t="shared" si="0"/>
        <v>9.274855559287873E-4</v>
      </c>
    </row>
    <row r="32" spans="2:13" s="20" customFormat="1" x14ac:dyDescent="0.2">
      <c r="B32" s="361" t="s">
        <v>334</v>
      </c>
      <c r="C32" s="361"/>
      <c r="D32" s="361"/>
      <c r="E32" s="361"/>
      <c r="F32" s="361"/>
      <c r="G32" s="49">
        <f>G29+G31</f>
        <v>80075</v>
      </c>
      <c r="H32" s="49">
        <f t="shared" ref="H32:J32" si="14">H29+H31</f>
        <v>90075</v>
      </c>
      <c r="I32" s="49">
        <f t="shared" si="14"/>
        <v>79716.981999999989</v>
      </c>
      <c r="J32" s="49">
        <f t="shared" si="14"/>
        <v>0</v>
      </c>
      <c r="K32" s="167">
        <f t="shared" si="1"/>
        <v>0.88500673882875369</v>
      </c>
      <c r="L32" s="168">
        <f t="shared" si="0"/>
        <v>2.2314685365580557E-3</v>
      </c>
    </row>
    <row r="33" spans="2:12" s="20" customFormat="1" x14ac:dyDescent="0.2">
      <c r="B33" s="365" t="s">
        <v>339</v>
      </c>
      <c r="C33" s="366">
        <v>1</v>
      </c>
      <c r="D33" s="366">
        <v>4</v>
      </c>
      <c r="E33" s="13">
        <v>20103001</v>
      </c>
      <c r="F33" s="40" t="s">
        <v>331</v>
      </c>
      <c r="G33" s="129">
        <v>40000</v>
      </c>
      <c r="H33" s="129">
        <v>40000</v>
      </c>
      <c r="I33" s="177">
        <v>36359.303999999996</v>
      </c>
      <c r="J33" s="129">
        <v>0</v>
      </c>
      <c r="K33" s="167">
        <f t="shared" si="1"/>
        <v>0.90898259999999986</v>
      </c>
      <c r="L33" s="168">
        <f t="shared" si="0"/>
        <v>1.0177836748404433E-3</v>
      </c>
    </row>
    <row r="34" spans="2:12" s="20" customFormat="1" x14ac:dyDescent="0.2">
      <c r="B34" s="365"/>
      <c r="C34" s="366"/>
      <c r="D34" s="366"/>
      <c r="E34" s="13">
        <v>23603002</v>
      </c>
      <c r="F34" s="40" t="s">
        <v>63</v>
      </c>
      <c r="G34" s="129">
        <v>75</v>
      </c>
      <c r="H34" s="129">
        <v>75</v>
      </c>
      <c r="I34" s="177"/>
      <c r="J34" s="129">
        <v>0</v>
      </c>
      <c r="K34" s="167">
        <f t="shared" si="1"/>
        <v>0</v>
      </c>
      <c r="L34" s="168">
        <f t="shared" si="0"/>
        <v>0</v>
      </c>
    </row>
    <row r="35" spans="2:12" s="20" customFormat="1" x14ac:dyDescent="0.2">
      <c r="B35" s="365"/>
      <c r="C35" s="366"/>
      <c r="D35" s="366"/>
      <c r="E35" s="364" t="s">
        <v>333</v>
      </c>
      <c r="F35" s="364"/>
      <c r="G35" s="62">
        <f t="shared" ref="G35" si="15">SUM(G33:G34)</f>
        <v>40075</v>
      </c>
      <c r="H35" s="62">
        <f t="shared" ref="H35:J35" si="16">SUM(H33:H34)</f>
        <v>40075</v>
      </c>
      <c r="I35" s="62">
        <f t="shared" si="16"/>
        <v>36359.303999999996</v>
      </c>
      <c r="J35" s="62">
        <f t="shared" si="16"/>
        <v>0</v>
      </c>
      <c r="K35" s="167">
        <f t="shared" si="1"/>
        <v>0.90728144728633797</v>
      </c>
      <c r="L35" s="168">
        <f t="shared" si="0"/>
        <v>1.0177836748404433E-3</v>
      </c>
    </row>
    <row r="36" spans="2:12" s="20" customFormat="1" x14ac:dyDescent="0.2">
      <c r="B36" s="361" t="s">
        <v>334</v>
      </c>
      <c r="C36" s="361"/>
      <c r="D36" s="361"/>
      <c r="E36" s="361"/>
      <c r="F36" s="361"/>
      <c r="G36" s="49">
        <f>G35</f>
        <v>40075</v>
      </c>
      <c r="H36" s="49">
        <f t="shared" ref="H36:J36" si="17">H35</f>
        <v>40075</v>
      </c>
      <c r="I36" s="49">
        <f t="shared" si="17"/>
        <v>36359.303999999996</v>
      </c>
      <c r="J36" s="49">
        <f t="shared" si="17"/>
        <v>0</v>
      </c>
      <c r="K36" s="167">
        <f t="shared" si="1"/>
        <v>0.90728144728633797</v>
      </c>
      <c r="L36" s="168">
        <f t="shared" si="0"/>
        <v>1.0177836748404433E-3</v>
      </c>
    </row>
    <row r="37" spans="2:12" s="20" customFormat="1" x14ac:dyDescent="0.2">
      <c r="B37" s="365" t="s">
        <v>501</v>
      </c>
      <c r="C37" s="366">
        <v>1</v>
      </c>
      <c r="D37" s="366">
        <v>10</v>
      </c>
      <c r="E37" s="95">
        <v>20103001</v>
      </c>
      <c r="F37" s="80" t="s">
        <v>331</v>
      </c>
      <c r="G37" s="129">
        <v>30000</v>
      </c>
      <c r="H37" s="129">
        <v>30000</v>
      </c>
      <c r="I37" s="177">
        <v>25607.703000000001</v>
      </c>
      <c r="J37" s="129">
        <v>0</v>
      </c>
      <c r="K37" s="167">
        <f t="shared" si="1"/>
        <v>0.85359010000000002</v>
      </c>
      <c r="L37" s="168">
        <f t="shared" ref="L37:L67" si="18">IFERROR(I37/$H$438,"")</f>
        <v>7.1682070876721534E-4</v>
      </c>
    </row>
    <row r="38" spans="2:12" s="20" customFormat="1" x14ac:dyDescent="0.2">
      <c r="B38" s="365"/>
      <c r="C38" s="366"/>
      <c r="D38" s="366"/>
      <c r="E38" s="95">
        <v>23603002</v>
      </c>
      <c r="F38" s="80" t="s">
        <v>63</v>
      </c>
      <c r="G38" s="129">
        <v>75</v>
      </c>
      <c r="H38" s="129">
        <v>75</v>
      </c>
      <c r="I38" s="177"/>
      <c r="J38" s="129">
        <v>0</v>
      </c>
      <c r="K38" s="167">
        <f t="shared" si="1"/>
        <v>0</v>
      </c>
      <c r="L38" s="168">
        <f t="shared" si="18"/>
        <v>0</v>
      </c>
    </row>
    <row r="39" spans="2:12" s="20" customFormat="1" x14ac:dyDescent="0.2">
      <c r="B39" s="365"/>
      <c r="C39" s="366"/>
      <c r="D39" s="366"/>
      <c r="E39" s="364" t="s">
        <v>333</v>
      </c>
      <c r="F39" s="364"/>
      <c r="G39" s="62">
        <f>SUM(G37:G38)</f>
        <v>30075</v>
      </c>
      <c r="H39" s="62">
        <f>SUM(H37:H38)</f>
        <v>30075</v>
      </c>
      <c r="I39" s="62">
        <f>SUM(I37:I38)</f>
        <v>25607.703000000001</v>
      </c>
      <c r="J39" s="62">
        <f>SUM(J37:J38)</f>
        <v>0</v>
      </c>
      <c r="K39" s="167">
        <f t="shared" si="1"/>
        <v>0.85146144638403998</v>
      </c>
      <c r="L39" s="168">
        <f t="shared" si="18"/>
        <v>7.1682070876721534E-4</v>
      </c>
    </row>
    <row r="40" spans="2:12" s="20" customFormat="1" x14ac:dyDescent="0.2">
      <c r="B40" s="365"/>
      <c r="C40" s="366"/>
      <c r="D40" s="366"/>
      <c r="E40" s="22">
        <v>25301004</v>
      </c>
      <c r="F40" s="80" t="s">
        <v>477</v>
      </c>
      <c r="G40" s="129">
        <v>1000</v>
      </c>
      <c r="H40" s="129">
        <v>1000</v>
      </c>
      <c r="I40" s="177"/>
      <c r="J40" s="129">
        <v>0</v>
      </c>
      <c r="K40" s="167">
        <f t="shared" si="1"/>
        <v>0</v>
      </c>
      <c r="L40" s="168">
        <f t="shared" si="18"/>
        <v>0</v>
      </c>
    </row>
    <row r="41" spans="2:12" s="20" customFormat="1" x14ac:dyDescent="0.2">
      <c r="B41" s="365"/>
      <c r="C41" s="366"/>
      <c r="D41" s="366"/>
      <c r="E41" s="319" t="s">
        <v>335</v>
      </c>
      <c r="F41" s="319"/>
      <c r="G41" s="57">
        <f t="shared" ref="G41:J41" si="19">SUM(G40)</f>
        <v>1000</v>
      </c>
      <c r="H41" s="57">
        <f t="shared" si="19"/>
        <v>1000</v>
      </c>
      <c r="I41" s="57">
        <f t="shared" si="19"/>
        <v>0</v>
      </c>
      <c r="J41" s="57">
        <f t="shared" si="19"/>
        <v>0</v>
      </c>
      <c r="K41" s="167">
        <f t="shared" si="1"/>
        <v>0</v>
      </c>
      <c r="L41" s="168">
        <f t="shared" si="18"/>
        <v>0</v>
      </c>
    </row>
    <row r="42" spans="2:12" s="20" customFormat="1" x14ac:dyDescent="0.2">
      <c r="B42" s="361" t="s">
        <v>334</v>
      </c>
      <c r="C42" s="361"/>
      <c r="D42" s="361"/>
      <c r="E42" s="361"/>
      <c r="F42" s="361"/>
      <c r="G42" s="49">
        <f>G39+G41</f>
        <v>31075</v>
      </c>
      <c r="H42" s="49">
        <f t="shared" ref="H42:J42" si="20">H39+H41</f>
        <v>31075</v>
      </c>
      <c r="I42" s="49">
        <f t="shared" si="20"/>
        <v>25607.703000000001</v>
      </c>
      <c r="J42" s="49">
        <f t="shared" si="20"/>
        <v>0</v>
      </c>
      <c r="K42" s="167">
        <f t="shared" si="1"/>
        <v>0.82406123893805316</v>
      </c>
      <c r="L42" s="168">
        <f t="shared" si="18"/>
        <v>7.1682070876721534E-4</v>
      </c>
    </row>
    <row r="43" spans="2:12" s="20" customFormat="1" x14ac:dyDescent="0.2">
      <c r="B43" s="407" t="s">
        <v>340</v>
      </c>
      <c r="C43" s="409">
        <v>2</v>
      </c>
      <c r="D43" s="409">
        <v>0</v>
      </c>
      <c r="E43" s="13">
        <v>20101001</v>
      </c>
      <c r="F43" s="40" t="s">
        <v>15</v>
      </c>
      <c r="G43" s="129">
        <v>680000</v>
      </c>
      <c r="H43" s="129">
        <v>599000</v>
      </c>
      <c r="I43" s="177">
        <v>530323.54399999999</v>
      </c>
      <c r="J43" s="129">
        <v>0</v>
      </c>
      <c r="K43" s="167">
        <f t="shared" si="1"/>
        <v>0.88534815358931551</v>
      </c>
      <c r="L43" s="168">
        <f t="shared" si="18"/>
        <v>1.4845021386182959E-2</v>
      </c>
    </row>
    <row r="44" spans="2:12" s="20" customFormat="1" x14ac:dyDescent="0.2">
      <c r="B44" s="408"/>
      <c r="C44" s="410"/>
      <c r="D44" s="410"/>
      <c r="E44" s="13">
        <v>20103001</v>
      </c>
      <c r="F44" s="40" t="s">
        <v>331</v>
      </c>
      <c r="G44" s="129">
        <v>80000</v>
      </c>
      <c r="H44" s="129">
        <v>80000</v>
      </c>
      <c r="I44" s="177">
        <v>71256.731</v>
      </c>
      <c r="J44" s="129">
        <v>0</v>
      </c>
      <c r="K44" s="167">
        <f t="shared" si="1"/>
        <v>0.89070913750000003</v>
      </c>
      <c r="L44" s="168">
        <f t="shared" si="18"/>
        <v>1.9946459243085882E-3</v>
      </c>
    </row>
    <row r="45" spans="2:12" s="20" customFormat="1" x14ac:dyDescent="0.2">
      <c r="B45" s="408"/>
      <c r="C45" s="410"/>
      <c r="D45" s="410"/>
      <c r="E45" s="22">
        <v>22601001</v>
      </c>
      <c r="F45" s="77" t="s">
        <v>243</v>
      </c>
      <c r="G45" s="129">
        <v>10000</v>
      </c>
      <c r="H45" s="129">
        <v>10000</v>
      </c>
      <c r="I45" s="177"/>
      <c r="J45" s="129">
        <v>0</v>
      </c>
      <c r="K45" s="167">
        <f t="shared" si="1"/>
        <v>0</v>
      </c>
      <c r="L45" s="168">
        <f t="shared" si="18"/>
        <v>0</v>
      </c>
    </row>
    <row r="46" spans="2:12" s="20" customFormat="1" x14ac:dyDescent="0.2">
      <c r="B46" s="408"/>
      <c r="C46" s="410"/>
      <c r="D46" s="410"/>
      <c r="E46" s="13">
        <v>23603002</v>
      </c>
      <c r="F46" s="40" t="s">
        <v>63</v>
      </c>
      <c r="G46" s="129">
        <v>75</v>
      </c>
      <c r="H46" s="129">
        <v>75</v>
      </c>
      <c r="I46" s="177"/>
      <c r="J46" s="129">
        <v>0</v>
      </c>
      <c r="K46" s="167">
        <f t="shared" si="1"/>
        <v>0</v>
      </c>
      <c r="L46" s="168">
        <f t="shared" si="18"/>
        <v>0</v>
      </c>
    </row>
    <row r="47" spans="2:12" s="20" customFormat="1" x14ac:dyDescent="0.2">
      <c r="B47" s="408"/>
      <c r="C47" s="410"/>
      <c r="D47" s="410"/>
      <c r="E47" s="364" t="s">
        <v>333</v>
      </c>
      <c r="F47" s="364"/>
      <c r="G47" s="62">
        <f t="shared" ref="G47" si="21">SUM(G43:G46)</f>
        <v>770075</v>
      </c>
      <c r="H47" s="62">
        <f t="shared" ref="H47:J47" si="22">SUM(H43:H46)</f>
        <v>689075</v>
      </c>
      <c r="I47" s="62">
        <f t="shared" si="22"/>
        <v>601580.27500000002</v>
      </c>
      <c r="J47" s="62">
        <f t="shared" si="22"/>
        <v>0</v>
      </c>
      <c r="K47" s="167">
        <f t="shared" si="1"/>
        <v>0.87302583173094372</v>
      </c>
      <c r="L47" s="168">
        <f t="shared" si="18"/>
        <v>1.6839667310491548E-2</v>
      </c>
    </row>
    <row r="48" spans="2:12" s="20" customFormat="1" x14ac:dyDescent="0.2">
      <c r="B48" s="361" t="s">
        <v>334</v>
      </c>
      <c r="C48" s="361"/>
      <c r="D48" s="361"/>
      <c r="E48" s="361"/>
      <c r="F48" s="361"/>
      <c r="G48" s="49">
        <f>G47</f>
        <v>770075</v>
      </c>
      <c r="H48" s="49">
        <f t="shared" ref="H48:J48" si="23">H47</f>
        <v>689075</v>
      </c>
      <c r="I48" s="49">
        <f t="shared" si="23"/>
        <v>601580.27500000002</v>
      </c>
      <c r="J48" s="49">
        <f t="shared" si="23"/>
        <v>0</v>
      </c>
      <c r="K48" s="167">
        <f t="shared" si="1"/>
        <v>0.87302583173094372</v>
      </c>
      <c r="L48" s="168">
        <f t="shared" si="18"/>
        <v>1.6839667310491548E-2</v>
      </c>
    </row>
    <row r="49" spans="2:12" s="20" customFormat="1" x14ac:dyDescent="0.2">
      <c r="B49" s="367" t="s">
        <v>341</v>
      </c>
      <c r="C49" s="368">
        <v>3</v>
      </c>
      <c r="D49" s="368">
        <v>0</v>
      </c>
      <c r="E49" s="13">
        <v>20101001</v>
      </c>
      <c r="F49" s="40" t="s">
        <v>15</v>
      </c>
      <c r="G49" s="129">
        <v>950000</v>
      </c>
      <c r="H49" s="129">
        <v>913000</v>
      </c>
      <c r="I49" s="177">
        <v>875994.04799999995</v>
      </c>
      <c r="J49" s="129">
        <v>0</v>
      </c>
      <c r="K49" s="167">
        <f t="shared" si="1"/>
        <v>0.95946774151150049</v>
      </c>
      <c r="L49" s="168">
        <f t="shared" si="18"/>
        <v>2.4521163587504197E-2</v>
      </c>
    </row>
    <row r="50" spans="2:12" s="20" customFormat="1" x14ac:dyDescent="0.2">
      <c r="B50" s="367"/>
      <c r="C50" s="368"/>
      <c r="D50" s="368"/>
      <c r="E50" s="13">
        <v>20103001</v>
      </c>
      <c r="F50" s="40" t="s">
        <v>331</v>
      </c>
      <c r="G50" s="129">
        <v>118000</v>
      </c>
      <c r="H50" s="129">
        <v>129500</v>
      </c>
      <c r="I50" s="177">
        <v>122908.576</v>
      </c>
      <c r="J50" s="129">
        <v>0</v>
      </c>
      <c r="K50" s="167">
        <f t="shared" si="1"/>
        <v>0.94910097297297302</v>
      </c>
      <c r="L50" s="168">
        <f t="shared" si="18"/>
        <v>3.440504310827455E-3</v>
      </c>
    </row>
    <row r="51" spans="2:12" s="20" customFormat="1" x14ac:dyDescent="0.2">
      <c r="B51" s="367"/>
      <c r="C51" s="368"/>
      <c r="D51" s="368"/>
      <c r="E51" s="13">
        <v>23603002</v>
      </c>
      <c r="F51" s="40" t="s">
        <v>63</v>
      </c>
      <c r="G51" s="129">
        <v>75</v>
      </c>
      <c r="H51" s="129">
        <v>75</v>
      </c>
      <c r="I51" s="177">
        <v>75</v>
      </c>
      <c r="J51" s="129">
        <v>0</v>
      </c>
      <c r="K51" s="167">
        <f t="shared" si="1"/>
        <v>1</v>
      </c>
      <c r="L51" s="168">
        <f t="shared" si="18"/>
        <v>2.0994289553241517E-6</v>
      </c>
    </row>
    <row r="52" spans="2:12" s="20" customFormat="1" x14ac:dyDescent="0.2">
      <c r="B52" s="367"/>
      <c r="C52" s="368"/>
      <c r="D52" s="368"/>
      <c r="E52" s="364" t="s">
        <v>333</v>
      </c>
      <c r="F52" s="364"/>
      <c r="G52" s="62">
        <f t="shared" ref="G52:J52" si="24">SUM(G49:G51)</f>
        <v>1068075</v>
      </c>
      <c r="H52" s="62">
        <f t="shared" si="24"/>
        <v>1042575</v>
      </c>
      <c r="I52" s="62">
        <f t="shared" si="24"/>
        <v>998977.62399999995</v>
      </c>
      <c r="J52" s="62">
        <f t="shared" si="24"/>
        <v>0</v>
      </c>
      <c r="K52" s="167">
        <f t="shared" si="1"/>
        <v>0.9581829834784068</v>
      </c>
      <c r="L52" s="168">
        <f t="shared" si="18"/>
        <v>2.7963767327286976E-2</v>
      </c>
    </row>
    <row r="53" spans="2:12" s="20" customFormat="1" x14ac:dyDescent="0.2">
      <c r="B53" s="361" t="s">
        <v>334</v>
      </c>
      <c r="C53" s="361"/>
      <c r="D53" s="361"/>
      <c r="E53" s="361"/>
      <c r="F53" s="361"/>
      <c r="G53" s="49">
        <f>G52</f>
        <v>1068075</v>
      </c>
      <c r="H53" s="49">
        <f t="shared" ref="H53:J53" si="25">H52</f>
        <v>1042575</v>
      </c>
      <c r="I53" s="49">
        <f t="shared" si="25"/>
        <v>998977.62399999995</v>
      </c>
      <c r="J53" s="49">
        <f t="shared" si="25"/>
        <v>0</v>
      </c>
      <c r="K53" s="167">
        <f t="shared" si="1"/>
        <v>0.9581829834784068</v>
      </c>
      <c r="L53" s="168">
        <f t="shared" si="18"/>
        <v>2.7963767327286976E-2</v>
      </c>
    </row>
    <row r="54" spans="2:12" s="20" customFormat="1" x14ac:dyDescent="0.2">
      <c r="B54" s="367" t="s">
        <v>488</v>
      </c>
      <c r="C54" s="368">
        <v>4</v>
      </c>
      <c r="D54" s="368">
        <v>0</v>
      </c>
      <c r="E54" s="13">
        <v>20101001</v>
      </c>
      <c r="F54" s="40" t="s">
        <v>15</v>
      </c>
      <c r="G54" s="129">
        <v>865000</v>
      </c>
      <c r="H54" s="129">
        <v>1065000</v>
      </c>
      <c r="I54" s="177">
        <v>994498.20200000005</v>
      </c>
      <c r="J54" s="129">
        <v>0</v>
      </c>
      <c r="K54" s="167">
        <f t="shared" si="1"/>
        <v>0.93380112863849773</v>
      </c>
      <c r="L54" s="168">
        <f t="shared" si="18"/>
        <v>2.78383776172881E-2</v>
      </c>
    </row>
    <row r="55" spans="2:12" s="20" customFormat="1" x14ac:dyDescent="0.2">
      <c r="B55" s="367"/>
      <c r="C55" s="368"/>
      <c r="D55" s="368"/>
      <c r="E55" s="13">
        <v>20103001</v>
      </c>
      <c r="F55" s="40" t="s">
        <v>331</v>
      </c>
      <c r="G55" s="129">
        <v>102000</v>
      </c>
      <c r="H55" s="129">
        <v>102000</v>
      </c>
      <c r="I55" s="177">
        <v>96053.33</v>
      </c>
      <c r="J55" s="129">
        <v>0</v>
      </c>
      <c r="K55" s="167">
        <f t="shared" si="1"/>
        <v>0.94169931372549021</v>
      </c>
      <c r="L55" s="168">
        <f t="shared" si="18"/>
        <v>2.6887618967640801E-3</v>
      </c>
    </row>
    <row r="56" spans="2:12" s="20" customFormat="1" x14ac:dyDescent="0.2">
      <c r="B56" s="367"/>
      <c r="C56" s="368"/>
      <c r="D56" s="368"/>
      <c r="E56" s="13">
        <v>23603002</v>
      </c>
      <c r="F56" s="40" t="s">
        <v>63</v>
      </c>
      <c r="G56" s="129">
        <v>75</v>
      </c>
      <c r="H56" s="129">
        <v>75</v>
      </c>
      <c r="I56" s="177">
        <v>75</v>
      </c>
      <c r="J56" s="129">
        <v>0</v>
      </c>
      <c r="K56" s="167">
        <f t="shared" si="1"/>
        <v>1</v>
      </c>
      <c r="L56" s="168">
        <f t="shared" si="18"/>
        <v>2.0994289553241517E-6</v>
      </c>
    </row>
    <row r="57" spans="2:12" s="20" customFormat="1" x14ac:dyDescent="0.2">
      <c r="B57" s="367"/>
      <c r="C57" s="368"/>
      <c r="D57" s="368"/>
      <c r="E57" s="364" t="s">
        <v>333</v>
      </c>
      <c r="F57" s="364"/>
      <c r="G57" s="62">
        <f t="shared" ref="G57:J57" si="26">SUM(G54:G56)</f>
        <v>967075</v>
      </c>
      <c r="H57" s="62">
        <f t="shared" si="26"/>
        <v>1167075</v>
      </c>
      <c r="I57" s="62">
        <f t="shared" si="26"/>
        <v>1090626.5320000001</v>
      </c>
      <c r="J57" s="62">
        <f t="shared" si="26"/>
        <v>0</v>
      </c>
      <c r="K57" s="167">
        <f t="shared" si="1"/>
        <v>0.9344956682304052</v>
      </c>
      <c r="L57" s="168">
        <f t="shared" si="18"/>
        <v>3.0529238943007506E-2</v>
      </c>
    </row>
    <row r="58" spans="2:12" s="20" customFormat="1" x14ac:dyDescent="0.2">
      <c r="B58" s="367"/>
      <c r="C58" s="368"/>
      <c r="D58" s="368"/>
      <c r="E58" s="13">
        <v>25601001</v>
      </c>
      <c r="F58" s="40" t="s">
        <v>453</v>
      </c>
      <c r="G58" s="129">
        <v>5000</v>
      </c>
      <c r="H58" s="129">
        <v>5000</v>
      </c>
      <c r="I58" s="177"/>
      <c r="J58" s="129">
        <v>0</v>
      </c>
      <c r="K58" s="167">
        <f t="shared" si="1"/>
        <v>0</v>
      </c>
      <c r="L58" s="168">
        <f t="shared" si="18"/>
        <v>0</v>
      </c>
    </row>
    <row r="59" spans="2:12" s="20" customFormat="1" x14ac:dyDescent="0.2">
      <c r="B59" s="367"/>
      <c r="C59" s="368"/>
      <c r="D59" s="368"/>
      <c r="E59" s="319" t="s">
        <v>335</v>
      </c>
      <c r="F59" s="319"/>
      <c r="G59" s="57">
        <f>SUM(G58:G58)</f>
        <v>5000</v>
      </c>
      <c r="H59" s="57">
        <f>SUM(H58:H58)</f>
        <v>5000</v>
      </c>
      <c r="I59" s="57">
        <f>SUM(I58:I58)</f>
        <v>0</v>
      </c>
      <c r="J59" s="57">
        <f>SUM(J58:J58)</f>
        <v>0</v>
      </c>
      <c r="K59" s="167">
        <f t="shared" si="1"/>
        <v>0</v>
      </c>
      <c r="L59" s="168">
        <f t="shared" si="18"/>
        <v>0</v>
      </c>
    </row>
    <row r="60" spans="2:12" s="20" customFormat="1" x14ac:dyDescent="0.2">
      <c r="B60" s="361" t="s">
        <v>334</v>
      </c>
      <c r="C60" s="361"/>
      <c r="D60" s="361"/>
      <c r="E60" s="361"/>
      <c r="F60" s="361"/>
      <c r="G60" s="49">
        <f>G57+G59</f>
        <v>972075</v>
      </c>
      <c r="H60" s="49">
        <f>H57+H59</f>
        <v>1172075</v>
      </c>
      <c r="I60" s="49">
        <f>I57+I59</f>
        <v>1090626.5320000001</v>
      </c>
      <c r="J60" s="49">
        <f>J57+J59</f>
        <v>0</v>
      </c>
      <c r="K60" s="167">
        <f t="shared" si="1"/>
        <v>0.93050916707548592</v>
      </c>
      <c r="L60" s="168">
        <f t="shared" si="18"/>
        <v>3.0529238943007506E-2</v>
      </c>
    </row>
    <row r="61" spans="2:12" s="20" customFormat="1" x14ac:dyDescent="0.2">
      <c r="B61" s="367" t="s">
        <v>342</v>
      </c>
      <c r="C61" s="368">
        <v>5</v>
      </c>
      <c r="D61" s="368">
        <v>0</v>
      </c>
      <c r="E61" s="13">
        <v>20101001</v>
      </c>
      <c r="F61" s="40" t="s">
        <v>15</v>
      </c>
      <c r="G61" s="129">
        <v>635000</v>
      </c>
      <c r="H61" s="129">
        <v>675000</v>
      </c>
      <c r="I61" s="177">
        <v>655287.76500000001</v>
      </c>
      <c r="J61" s="129">
        <v>0</v>
      </c>
      <c r="K61" s="167">
        <f t="shared" si="1"/>
        <v>0.97079668888888893</v>
      </c>
      <c r="L61" s="168">
        <f t="shared" si="18"/>
        <v>1.834306810547531E-2</v>
      </c>
    </row>
    <row r="62" spans="2:12" s="20" customFormat="1" x14ac:dyDescent="0.2">
      <c r="B62" s="367"/>
      <c r="C62" s="368"/>
      <c r="D62" s="368"/>
      <c r="E62" s="13">
        <v>20103001</v>
      </c>
      <c r="F62" s="40" t="s">
        <v>331</v>
      </c>
      <c r="G62" s="129">
        <v>245000</v>
      </c>
      <c r="H62" s="129">
        <v>245000</v>
      </c>
      <c r="I62" s="177">
        <v>221315.61499999999</v>
      </c>
      <c r="J62" s="129">
        <v>0</v>
      </c>
      <c r="K62" s="167">
        <f t="shared" ref="K62:K117" si="27">IFERROR(I62/H62,"")</f>
        <v>0.90332904081632648</v>
      </c>
      <c r="L62" s="168">
        <f t="shared" si="18"/>
        <v>6.1951521386182954E-3</v>
      </c>
    </row>
    <row r="63" spans="2:12" s="20" customFormat="1" x14ac:dyDescent="0.2">
      <c r="B63" s="367"/>
      <c r="C63" s="368"/>
      <c r="D63" s="368"/>
      <c r="E63" s="22">
        <v>22601001</v>
      </c>
      <c r="F63" s="77" t="s">
        <v>243</v>
      </c>
      <c r="G63" s="129">
        <v>2000</v>
      </c>
      <c r="H63" s="129">
        <v>2000</v>
      </c>
      <c r="I63" s="177"/>
      <c r="J63" s="129">
        <v>0</v>
      </c>
      <c r="K63" s="167">
        <f t="shared" si="27"/>
        <v>0</v>
      </c>
      <c r="L63" s="168">
        <f t="shared" si="18"/>
        <v>0</v>
      </c>
    </row>
    <row r="64" spans="2:12" s="20" customFormat="1" x14ac:dyDescent="0.2">
      <c r="B64" s="367"/>
      <c r="C64" s="368"/>
      <c r="D64" s="368"/>
      <c r="E64" s="13">
        <v>23603002</v>
      </c>
      <c r="F64" s="40" t="s">
        <v>63</v>
      </c>
      <c r="G64" s="129">
        <v>75</v>
      </c>
      <c r="H64" s="129">
        <v>75</v>
      </c>
      <c r="I64" s="177"/>
      <c r="J64" s="129">
        <v>0</v>
      </c>
      <c r="K64" s="167">
        <f t="shared" si="27"/>
        <v>0</v>
      </c>
      <c r="L64" s="168">
        <f t="shared" si="18"/>
        <v>0</v>
      </c>
    </row>
    <row r="65" spans="2:12" s="20" customFormat="1" x14ac:dyDescent="0.2">
      <c r="B65" s="367"/>
      <c r="C65" s="368"/>
      <c r="D65" s="368"/>
      <c r="E65" s="364" t="s">
        <v>333</v>
      </c>
      <c r="F65" s="364"/>
      <c r="G65" s="62">
        <f t="shared" ref="G65:J65" si="28">SUM(G61:G64)</f>
        <v>882075</v>
      </c>
      <c r="H65" s="62">
        <f t="shared" si="28"/>
        <v>922075</v>
      </c>
      <c r="I65" s="62">
        <f t="shared" si="28"/>
        <v>876603.38</v>
      </c>
      <c r="J65" s="62">
        <f t="shared" si="28"/>
        <v>0</v>
      </c>
      <c r="K65" s="167">
        <f t="shared" si="27"/>
        <v>0.95068555160914248</v>
      </c>
      <c r="L65" s="168">
        <f t="shared" si="18"/>
        <v>2.4538220244093606E-2</v>
      </c>
    </row>
    <row r="66" spans="2:12" s="20" customFormat="1" x14ac:dyDescent="0.2">
      <c r="B66" s="367"/>
      <c r="C66" s="368"/>
      <c r="D66" s="368"/>
      <c r="E66" s="13">
        <v>25601001</v>
      </c>
      <c r="F66" s="40" t="s">
        <v>453</v>
      </c>
      <c r="G66" s="129">
        <v>5000</v>
      </c>
      <c r="H66" s="129">
        <v>31000</v>
      </c>
      <c r="I66" s="177">
        <v>4486.6549999999997</v>
      </c>
      <c r="J66" s="129">
        <v>12513.344999999999</v>
      </c>
      <c r="K66" s="167">
        <f t="shared" si="27"/>
        <v>0.1447308064516129</v>
      </c>
      <c r="L66" s="168">
        <f t="shared" si="18"/>
        <v>1.2559217892733175E-4</v>
      </c>
    </row>
    <row r="67" spans="2:12" s="20" customFormat="1" x14ac:dyDescent="0.2">
      <c r="B67" s="367"/>
      <c r="C67" s="368"/>
      <c r="D67" s="368"/>
      <c r="E67" s="23">
        <v>25602001</v>
      </c>
      <c r="F67" s="79" t="s">
        <v>138</v>
      </c>
      <c r="G67" s="129">
        <v>1000</v>
      </c>
      <c r="H67" s="129">
        <v>1000</v>
      </c>
      <c r="I67" s="177"/>
      <c r="J67" s="129">
        <v>0</v>
      </c>
      <c r="K67" s="167">
        <f t="shared" si="27"/>
        <v>0</v>
      </c>
      <c r="L67" s="168">
        <f t="shared" si="18"/>
        <v>0</v>
      </c>
    </row>
    <row r="68" spans="2:12" s="20" customFormat="1" x14ac:dyDescent="0.2">
      <c r="B68" s="367"/>
      <c r="C68" s="368"/>
      <c r="D68" s="368"/>
      <c r="E68" s="319" t="s">
        <v>335</v>
      </c>
      <c r="F68" s="319"/>
      <c r="G68" s="57">
        <f>SUM(G66:G67)</f>
        <v>6000</v>
      </c>
      <c r="H68" s="57">
        <f>SUM(H66:H67)</f>
        <v>32000</v>
      </c>
      <c r="I68" s="57">
        <f>SUM(I66:I67)</f>
        <v>4486.6549999999997</v>
      </c>
      <c r="J68" s="57">
        <f>SUM(J66:J67)</f>
        <v>12513.344999999999</v>
      </c>
      <c r="K68" s="167">
        <f t="shared" si="27"/>
        <v>0.14020796874999999</v>
      </c>
      <c r="L68" s="168">
        <f t="shared" ref="L68:L131" si="29">IFERROR(I68/$H$438,"")</f>
        <v>1.2559217892733175E-4</v>
      </c>
    </row>
    <row r="69" spans="2:12" s="20" customFormat="1" x14ac:dyDescent="0.2">
      <c r="B69" s="361" t="s">
        <v>334</v>
      </c>
      <c r="C69" s="361"/>
      <c r="D69" s="361"/>
      <c r="E69" s="361"/>
      <c r="F69" s="361"/>
      <c r="G69" s="49">
        <f>G65+G68</f>
        <v>888075</v>
      </c>
      <c r="H69" s="49">
        <f>H65+H68</f>
        <v>954075</v>
      </c>
      <c r="I69" s="49">
        <f>I65+I68</f>
        <v>881090.03500000003</v>
      </c>
      <c r="J69" s="49">
        <f>J65+J68</f>
        <v>12513.344999999999</v>
      </c>
      <c r="K69" s="167">
        <f t="shared" si="27"/>
        <v>0.92350185782040195</v>
      </c>
      <c r="L69" s="168">
        <f t="shared" si="29"/>
        <v>2.4663812423020938E-2</v>
      </c>
    </row>
    <row r="70" spans="2:12" s="20" customFormat="1" x14ac:dyDescent="0.2">
      <c r="B70" s="411" t="s">
        <v>343</v>
      </c>
      <c r="C70" s="368">
        <v>6</v>
      </c>
      <c r="D70" s="368">
        <v>0</v>
      </c>
      <c r="E70" s="13">
        <v>20101001</v>
      </c>
      <c r="F70" s="40" t="s">
        <v>15</v>
      </c>
      <c r="G70" s="129">
        <v>490000</v>
      </c>
      <c r="H70" s="129">
        <v>475000</v>
      </c>
      <c r="I70" s="177">
        <v>456232.42</v>
      </c>
      <c r="J70" s="129">
        <v>0</v>
      </c>
      <c r="K70" s="167">
        <f t="shared" si="27"/>
        <v>0.9604893052631579</v>
      </c>
      <c r="L70" s="168">
        <f t="shared" si="29"/>
        <v>1.2771034038741462E-2</v>
      </c>
    </row>
    <row r="71" spans="2:12" s="20" customFormat="1" x14ac:dyDescent="0.2">
      <c r="B71" s="412"/>
      <c r="C71" s="368"/>
      <c r="D71" s="368"/>
      <c r="E71" s="13">
        <v>20103001</v>
      </c>
      <c r="F71" s="40" t="s">
        <v>331</v>
      </c>
      <c r="G71" s="129">
        <v>218000</v>
      </c>
      <c r="H71" s="129">
        <v>218000</v>
      </c>
      <c r="I71" s="177">
        <v>190643.34899999999</v>
      </c>
      <c r="J71" s="129">
        <v>0</v>
      </c>
      <c r="K71" s="167">
        <f t="shared" si="27"/>
        <v>0.87451077522935772</v>
      </c>
      <c r="L71" s="168">
        <f t="shared" si="29"/>
        <v>5.3365622270742357E-3</v>
      </c>
    </row>
    <row r="72" spans="2:12" s="20" customFormat="1" x14ac:dyDescent="0.2">
      <c r="B72" s="412"/>
      <c r="C72" s="368"/>
      <c r="D72" s="368"/>
      <c r="E72" s="22">
        <v>22601001</v>
      </c>
      <c r="F72" s="77" t="s">
        <v>243</v>
      </c>
      <c r="G72" s="129">
        <v>1000</v>
      </c>
      <c r="H72" s="129">
        <v>1000</v>
      </c>
      <c r="I72" s="177"/>
      <c r="J72" s="129">
        <v>0</v>
      </c>
      <c r="K72" s="167">
        <f t="shared" si="27"/>
        <v>0</v>
      </c>
      <c r="L72" s="168">
        <f t="shared" si="29"/>
        <v>0</v>
      </c>
    </row>
    <row r="73" spans="2:12" s="20" customFormat="1" x14ac:dyDescent="0.2">
      <c r="B73" s="412"/>
      <c r="C73" s="368"/>
      <c r="D73" s="368"/>
      <c r="E73" s="13">
        <v>23603002</v>
      </c>
      <c r="F73" s="40" t="s">
        <v>63</v>
      </c>
      <c r="G73" s="129">
        <v>75</v>
      </c>
      <c r="H73" s="129">
        <v>75</v>
      </c>
      <c r="I73" s="177"/>
      <c r="J73" s="129">
        <v>0</v>
      </c>
      <c r="K73" s="167">
        <f t="shared" si="27"/>
        <v>0</v>
      </c>
      <c r="L73" s="168">
        <f t="shared" si="29"/>
        <v>0</v>
      </c>
    </row>
    <row r="74" spans="2:12" s="20" customFormat="1" x14ac:dyDescent="0.2">
      <c r="B74" s="412"/>
      <c r="C74" s="368"/>
      <c r="D74" s="368"/>
      <c r="E74" s="364" t="s">
        <v>333</v>
      </c>
      <c r="F74" s="364"/>
      <c r="G74" s="62">
        <f t="shared" ref="G74:J74" si="30">SUM(G70:G73)</f>
        <v>709075</v>
      </c>
      <c r="H74" s="62">
        <f t="shared" si="30"/>
        <v>694075</v>
      </c>
      <c r="I74" s="62">
        <f t="shared" si="30"/>
        <v>646875.76899999997</v>
      </c>
      <c r="J74" s="62">
        <f t="shared" si="30"/>
        <v>0</v>
      </c>
      <c r="K74" s="167">
        <f t="shared" si="27"/>
        <v>0.93199692972661452</v>
      </c>
      <c r="L74" s="168">
        <f t="shared" si="29"/>
        <v>1.8107596265815696E-2</v>
      </c>
    </row>
    <row r="75" spans="2:12" s="20" customFormat="1" x14ac:dyDescent="0.2">
      <c r="B75" s="412"/>
      <c r="C75" s="368"/>
      <c r="D75" s="368"/>
      <c r="E75" s="13">
        <v>25601001</v>
      </c>
      <c r="F75" s="40" t="s">
        <v>453</v>
      </c>
      <c r="G75" s="129">
        <v>10000</v>
      </c>
      <c r="H75" s="129">
        <v>10000</v>
      </c>
      <c r="I75" s="177"/>
      <c r="J75" s="129">
        <v>0</v>
      </c>
      <c r="K75" s="167">
        <f t="shared" si="27"/>
        <v>0</v>
      </c>
      <c r="L75" s="168">
        <f t="shared" si="29"/>
        <v>0</v>
      </c>
    </row>
    <row r="76" spans="2:12" s="20" customFormat="1" x14ac:dyDescent="0.2">
      <c r="B76" s="412"/>
      <c r="C76" s="368"/>
      <c r="D76" s="368"/>
      <c r="E76" s="23">
        <v>25602001</v>
      </c>
      <c r="F76" s="79" t="s">
        <v>138</v>
      </c>
      <c r="G76" s="129">
        <v>5000</v>
      </c>
      <c r="H76" s="129">
        <v>5000</v>
      </c>
      <c r="I76" s="177"/>
      <c r="J76" s="129">
        <v>950</v>
      </c>
      <c r="K76" s="167">
        <f t="shared" si="27"/>
        <v>0</v>
      </c>
      <c r="L76" s="168">
        <f t="shared" si="29"/>
        <v>0</v>
      </c>
    </row>
    <row r="77" spans="2:12" s="20" customFormat="1" x14ac:dyDescent="0.2">
      <c r="B77" s="412"/>
      <c r="C77" s="368"/>
      <c r="D77" s="368"/>
      <c r="E77" s="319" t="s">
        <v>335</v>
      </c>
      <c r="F77" s="319"/>
      <c r="G77" s="57">
        <f>SUM(G75:G76)</f>
        <v>15000</v>
      </c>
      <c r="H77" s="57">
        <f>SUM(H75:H76)</f>
        <v>15000</v>
      </c>
      <c r="I77" s="57">
        <f>SUM(I75:I76)</f>
        <v>0</v>
      </c>
      <c r="J77" s="57">
        <f>SUM(J75:J76)</f>
        <v>950</v>
      </c>
      <c r="K77" s="167">
        <f t="shared" si="27"/>
        <v>0</v>
      </c>
      <c r="L77" s="168">
        <f t="shared" si="29"/>
        <v>0</v>
      </c>
    </row>
    <row r="78" spans="2:12" s="20" customFormat="1" x14ac:dyDescent="0.2">
      <c r="B78" s="412"/>
      <c r="C78" s="368"/>
      <c r="D78" s="368"/>
      <c r="E78" s="139">
        <v>26301019</v>
      </c>
      <c r="F78" s="138" t="s">
        <v>455</v>
      </c>
      <c r="G78" s="129">
        <v>20000</v>
      </c>
      <c r="H78" s="129">
        <v>0</v>
      </c>
      <c r="I78" s="177"/>
      <c r="J78" s="129">
        <v>0</v>
      </c>
      <c r="K78" s="167" t="str">
        <f t="shared" si="27"/>
        <v/>
      </c>
      <c r="L78" s="168">
        <f t="shared" si="29"/>
        <v>0</v>
      </c>
    </row>
    <row r="79" spans="2:12" s="20" customFormat="1" x14ac:dyDescent="0.2">
      <c r="B79" s="413"/>
      <c r="C79" s="368"/>
      <c r="D79" s="368"/>
      <c r="E79" s="330" t="s">
        <v>336</v>
      </c>
      <c r="F79" s="330"/>
      <c r="G79" s="52">
        <v>20000</v>
      </c>
      <c r="H79" s="52">
        <v>0</v>
      </c>
      <c r="I79" s="52">
        <v>0</v>
      </c>
      <c r="J79" s="52">
        <v>0</v>
      </c>
      <c r="K79" s="167" t="str">
        <f t="shared" si="27"/>
        <v/>
      </c>
      <c r="L79" s="168">
        <f t="shared" si="29"/>
        <v>0</v>
      </c>
    </row>
    <row r="80" spans="2:12" s="20" customFormat="1" x14ac:dyDescent="0.2">
      <c r="B80" s="361" t="s">
        <v>334</v>
      </c>
      <c r="C80" s="361"/>
      <c r="D80" s="361"/>
      <c r="E80" s="361"/>
      <c r="F80" s="361"/>
      <c r="G80" s="49">
        <f>G74+G77+G79</f>
        <v>744075</v>
      </c>
      <c r="H80" s="49">
        <f>H74+H77+H79</f>
        <v>709075</v>
      </c>
      <c r="I80" s="49">
        <f>I74+I77+I79</f>
        <v>646875.76899999997</v>
      </c>
      <c r="J80" s="49">
        <f>J74+J77+J79</f>
        <v>950</v>
      </c>
      <c r="K80" s="167">
        <f t="shared" si="27"/>
        <v>0.91228116771850642</v>
      </c>
      <c r="L80" s="168">
        <f t="shared" si="29"/>
        <v>1.8107596265815696E-2</v>
      </c>
    </row>
    <row r="81" spans="2:12" s="20" customFormat="1" x14ac:dyDescent="0.2">
      <c r="B81" s="367" t="s">
        <v>344</v>
      </c>
      <c r="C81" s="368">
        <v>7</v>
      </c>
      <c r="D81" s="368">
        <v>0</v>
      </c>
      <c r="E81" s="13">
        <v>20101001</v>
      </c>
      <c r="F81" s="40" t="s">
        <v>15</v>
      </c>
      <c r="G81" s="129">
        <v>1170000</v>
      </c>
      <c r="H81" s="129">
        <v>1130000</v>
      </c>
      <c r="I81" s="177">
        <v>1055298.3470000001</v>
      </c>
      <c r="J81" s="129">
        <v>0</v>
      </c>
      <c r="K81" s="167">
        <f t="shared" si="27"/>
        <v>0.93389234247787611</v>
      </c>
      <c r="L81" s="168">
        <f t="shared" si="29"/>
        <v>2.9540318749300191E-2</v>
      </c>
    </row>
    <row r="82" spans="2:12" s="20" customFormat="1" x14ac:dyDescent="0.2">
      <c r="B82" s="367"/>
      <c r="C82" s="368"/>
      <c r="D82" s="368"/>
      <c r="E82" s="13">
        <v>20103001</v>
      </c>
      <c r="F82" s="40" t="s">
        <v>331</v>
      </c>
      <c r="G82" s="129">
        <v>85000</v>
      </c>
      <c r="H82" s="129">
        <v>115000</v>
      </c>
      <c r="I82" s="177">
        <v>107601.716</v>
      </c>
      <c r="J82" s="129">
        <v>0</v>
      </c>
      <c r="K82" s="167">
        <f t="shared" si="27"/>
        <v>0.93566709565217387</v>
      </c>
      <c r="L82" s="168">
        <f t="shared" si="29"/>
        <v>3.0120287761728811E-3</v>
      </c>
    </row>
    <row r="83" spans="2:12" s="20" customFormat="1" x14ac:dyDescent="0.2">
      <c r="B83" s="367"/>
      <c r="C83" s="368"/>
      <c r="D83" s="368"/>
      <c r="E83" s="13">
        <v>23603002</v>
      </c>
      <c r="F83" s="40" t="s">
        <v>63</v>
      </c>
      <c r="G83" s="129">
        <v>75</v>
      </c>
      <c r="H83" s="129">
        <v>75</v>
      </c>
      <c r="I83" s="177"/>
      <c r="J83" s="129">
        <v>0</v>
      </c>
      <c r="K83" s="167">
        <f t="shared" si="27"/>
        <v>0</v>
      </c>
      <c r="L83" s="168">
        <f t="shared" si="29"/>
        <v>0</v>
      </c>
    </row>
    <row r="84" spans="2:12" s="20" customFormat="1" x14ac:dyDescent="0.2">
      <c r="B84" s="367"/>
      <c r="C84" s="368"/>
      <c r="D84" s="368"/>
      <c r="E84" s="364" t="s">
        <v>333</v>
      </c>
      <c r="F84" s="364"/>
      <c r="G84" s="62">
        <f t="shared" ref="G84:J84" si="31">SUM(G81:G83)</f>
        <v>1255075</v>
      </c>
      <c r="H84" s="62">
        <f t="shared" si="31"/>
        <v>1245075</v>
      </c>
      <c r="I84" s="62">
        <f t="shared" si="31"/>
        <v>1162900.0630000001</v>
      </c>
      <c r="J84" s="62">
        <f t="shared" si="31"/>
        <v>0</v>
      </c>
      <c r="K84" s="167">
        <f t="shared" si="27"/>
        <v>0.93400001044113812</v>
      </c>
      <c r="L84" s="168">
        <f t="shared" si="29"/>
        <v>3.2552347525473077E-2</v>
      </c>
    </row>
    <row r="85" spans="2:12" s="20" customFormat="1" x14ac:dyDescent="0.2">
      <c r="B85" s="367"/>
      <c r="C85" s="368"/>
      <c r="D85" s="368"/>
      <c r="E85" s="23">
        <v>26302007</v>
      </c>
      <c r="F85" s="80" t="s">
        <v>293</v>
      </c>
      <c r="G85" s="129">
        <v>10000</v>
      </c>
      <c r="H85" s="129">
        <v>10000</v>
      </c>
      <c r="I85" s="177">
        <v>1000</v>
      </c>
      <c r="J85" s="129">
        <v>0</v>
      </c>
      <c r="K85" s="167">
        <f t="shared" si="27"/>
        <v>0.1</v>
      </c>
      <c r="L85" s="168">
        <f t="shared" si="29"/>
        <v>2.7992386070988691E-5</v>
      </c>
    </row>
    <row r="86" spans="2:12" s="20" customFormat="1" x14ac:dyDescent="0.2">
      <c r="B86" s="367"/>
      <c r="C86" s="368"/>
      <c r="D86" s="368"/>
      <c r="E86" s="330" t="s">
        <v>336</v>
      </c>
      <c r="F86" s="330"/>
      <c r="G86" s="52">
        <f>SUM(G85)</f>
        <v>10000</v>
      </c>
      <c r="H86" s="52">
        <f t="shared" ref="H86:J86" si="32">SUM(H85)</f>
        <v>10000</v>
      </c>
      <c r="I86" s="52">
        <f t="shared" si="32"/>
        <v>1000</v>
      </c>
      <c r="J86" s="52">
        <f t="shared" si="32"/>
        <v>0</v>
      </c>
      <c r="K86" s="167">
        <f t="shared" si="27"/>
        <v>0.1</v>
      </c>
      <c r="L86" s="168">
        <f t="shared" si="29"/>
        <v>2.7992386070988691E-5</v>
      </c>
    </row>
    <row r="87" spans="2:12" s="20" customFormat="1" x14ac:dyDescent="0.2">
      <c r="B87" s="361" t="s">
        <v>334</v>
      </c>
      <c r="C87" s="361"/>
      <c r="D87" s="361"/>
      <c r="E87" s="361"/>
      <c r="F87" s="361"/>
      <c r="G87" s="49">
        <f>G84+G86</f>
        <v>1265075</v>
      </c>
      <c r="H87" s="49">
        <f t="shared" ref="H87:J87" si="33">H84+H86</f>
        <v>1255075</v>
      </c>
      <c r="I87" s="49">
        <f t="shared" si="33"/>
        <v>1163900.0630000001</v>
      </c>
      <c r="J87" s="49">
        <f t="shared" si="33"/>
        <v>0</v>
      </c>
      <c r="K87" s="167">
        <f t="shared" si="27"/>
        <v>0.9273549891440751</v>
      </c>
      <c r="L87" s="168">
        <f t="shared" si="29"/>
        <v>3.2580339911544062E-2</v>
      </c>
    </row>
    <row r="88" spans="2:12" s="20" customFormat="1" x14ac:dyDescent="0.2">
      <c r="B88" s="367" t="s">
        <v>345</v>
      </c>
      <c r="C88" s="368">
        <v>8</v>
      </c>
      <c r="D88" s="368">
        <v>0</v>
      </c>
      <c r="E88" s="13">
        <v>20101001</v>
      </c>
      <c r="F88" s="40" t="s">
        <v>15</v>
      </c>
      <c r="G88" s="129">
        <v>1470000</v>
      </c>
      <c r="H88" s="129">
        <v>1395000</v>
      </c>
      <c r="I88" s="177">
        <v>1334968.6340000001</v>
      </c>
      <c r="J88" s="129">
        <v>0</v>
      </c>
      <c r="K88" s="167">
        <f t="shared" si="27"/>
        <v>0.95696676272401437</v>
      </c>
      <c r="L88" s="168">
        <f t="shared" si="29"/>
        <v>3.7368957395588404E-2</v>
      </c>
    </row>
    <row r="89" spans="2:12" s="20" customFormat="1" x14ac:dyDescent="0.2">
      <c r="B89" s="367"/>
      <c r="C89" s="368"/>
      <c r="D89" s="368"/>
      <c r="E89" s="13">
        <v>20103001</v>
      </c>
      <c r="F89" s="40" t="s">
        <v>331</v>
      </c>
      <c r="G89" s="129">
        <v>280000</v>
      </c>
      <c r="H89" s="129">
        <v>287000</v>
      </c>
      <c r="I89" s="177">
        <v>271263.82900000003</v>
      </c>
      <c r="J89" s="129">
        <v>0</v>
      </c>
      <c r="K89" s="167">
        <f t="shared" si="27"/>
        <v>0.94517013588850185</v>
      </c>
      <c r="L89" s="168">
        <f t="shared" si="29"/>
        <v>7.5933218284626588E-3</v>
      </c>
    </row>
    <row r="90" spans="2:12" s="20" customFormat="1" x14ac:dyDescent="0.2">
      <c r="B90" s="367"/>
      <c r="C90" s="368"/>
      <c r="D90" s="368"/>
      <c r="E90" s="13">
        <v>23603002</v>
      </c>
      <c r="F90" s="40" t="s">
        <v>63</v>
      </c>
      <c r="G90" s="129">
        <v>75</v>
      </c>
      <c r="H90" s="129">
        <v>75</v>
      </c>
      <c r="I90" s="177"/>
      <c r="J90" s="129">
        <v>0</v>
      </c>
      <c r="K90" s="167">
        <f t="shared" si="27"/>
        <v>0</v>
      </c>
      <c r="L90" s="168">
        <f t="shared" si="29"/>
        <v>0</v>
      </c>
    </row>
    <row r="91" spans="2:12" s="20" customFormat="1" x14ac:dyDescent="0.2">
      <c r="B91" s="367"/>
      <c r="C91" s="368"/>
      <c r="D91" s="368"/>
      <c r="E91" s="364" t="s">
        <v>333</v>
      </c>
      <c r="F91" s="364"/>
      <c r="G91" s="62">
        <f t="shared" ref="G91:J91" si="34">SUM(G88:G90)</f>
        <v>1750075</v>
      </c>
      <c r="H91" s="62">
        <f t="shared" si="34"/>
        <v>1682075</v>
      </c>
      <c r="I91" s="62">
        <f t="shared" si="34"/>
        <v>1606232.463</v>
      </c>
      <c r="J91" s="62">
        <f t="shared" si="34"/>
        <v>0</v>
      </c>
      <c r="K91" s="167">
        <f t="shared" si="27"/>
        <v>0.95491132262235634</v>
      </c>
      <c r="L91" s="168">
        <f t="shared" si="29"/>
        <v>4.4962279224051056E-2</v>
      </c>
    </row>
    <row r="92" spans="2:12" s="20" customFormat="1" x14ac:dyDescent="0.2">
      <c r="B92" s="367"/>
      <c r="C92" s="368"/>
      <c r="D92" s="368"/>
      <c r="E92" s="13">
        <v>25601001</v>
      </c>
      <c r="F92" s="40" t="s">
        <v>453</v>
      </c>
      <c r="G92" s="129">
        <v>75000</v>
      </c>
      <c r="H92" s="129">
        <v>69000</v>
      </c>
      <c r="I92" s="177"/>
      <c r="J92" s="129">
        <v>25000</v>
      </c>
      <c r="K92" s="167">
        <f t="shared" si="27"/>
        <v>0</v>
      </c>
      <c r="L92" s="168">
        <f t="shared" si="29"/>
        <v>0</v>
      </c>
    </row>
    <row r="93" spans="2:12" s="20" customFormat="1" x14ac:dyDescent="0.2">
      <c r="B93" s="367"/>
      <c r="C93" s="368"/>
      <c r="D93" s="368"/>
      <c r="E93" s="23">
        <v>25602001</v>
      </c>
      <c r="F93" s="79" t="s">
        <v>138</v>
      </c>
      <c r="G93" s="129">
        <v>75000</v>
      </c>
      <c r="H93" s="129">
        <v>75000</v>
      </c>
      <c r="I93" s="177">
        <v>1000</v>
      </c>
      <c r="J93" s="129">
        <v>500</v>
      </c>
      <c r="K93" s="167">
        <f t="shared" si="27"/>
        <v>1.3333333333333334E-2</v>
      </c>
      <c r="L93" s="168">
        <f t="shared" si="29"/>
        <v>2.7992386070988691E-5</v>
      </c>
    </row>
    <row r="94" spans="2:12" s="20" customFormat="1" x14ac:dyDescent="0.2">
      <c r="B94" s="367"/>
      <c r="C94" s="368"/>
      <c r="D94" s="368"/>
      <c r="E94" s="23">
        <v>25603001</v>
      </c>
      <c r="F94" s="79" t="s">
        <v>456</v>
      </c>
      <c r="G94" s="129">
        <v>30000</v>
      </c>
      <c r="H94" s="129">
        <v>30000</v>
      </c>
      <c r="I94" s="177"/>
      <c r="J94" s="129">
        <v>0</v>
      </c>
      <c r="K94" s="167">
        <f t="shared" si="27"/>
        <v>0</v>
      </c>
      <c r="L94" s="168">
        <f t="shared" si="29"/>
        <v>0</v>
      </c>
    </row>
    <row r="95" spans="2:12" s="20" customFormat="1" x14ac:dyDescent="0.2">
      <c r="B95" s="367"/>
      <c r="C95" s="368"/>
      <c r="D95" s="368"/>
      <c r="E95" s="319" t="s">
        <v>335</v>
      </c>
      <c r="F95" s="319"/>
      <c r="G95" s="57">
        <f>SUM(G92:G94)</f>
        <v>180000</v>
      </c>
      <c r="H95" s="57">
        <f>SUM(H92:H94)</f>
        <v>174000</v>
      </c>
      <c r="I95" s="57">
        <f>SUM(I92:I94)</f>
        <v>1000</v>
      </c>
      <c r="J95" s="57">
        <f>SUM(J92:J94)</f>
        <v>25500</v>
      </c>
      <c r="K95" s="167">
        <f t="shared" si="27"/>
        <v>5.7471264367816091E-3</v>
      </c>
      <c r="L95" s="168">
        <f t="shared" si="29"/>
        <v>2.7992386070988691E-5</v>
      </c>
    </row>
    <row r="96" spans="2:12" s="20" customFormat="1" x14ac:dyDescent="0.2">
      <c r="B96" s="361" t="s">
        <v>334</v>
      </c>
      <c r="C96" s="361"/>
      <c r="D96" s="361"/>
      <c r="E96" s="361"/>
      <c r="F96" s="361"/>
      <c r="G96" s="49">
        <f>G91+G95</f>
        <v>1930075</v>
      </c>
      <c r="H96" s="49">
        <f>H91+H95</f>
        <v>1856075</v>
      </c>
      <c r="I96" s="49">
        <f>I91+I95</f>
        <v>1607232.463</v>
      </c>
      <c r="J96" s="49">
        <f>J91+J95</f>
        <v>25500</v>
      </c>
      <c r="K96" s="167">
        <f t="shared" si="27"/>
        <v>0.86593077488786818</v>
      </c>
      <c r="L96" s="168">
        <f t="shared" si="29"/>
        <v>4.4990271610122048E-2</v>
      </c>
    </row>
    <row r="97" spans="2:12" s="20" customFormat="1" x14ac:dyDescent="0.2">
      <c r="B97" s="367" t="s">
        <v>346</v>
      </c>
      <c r="C97" s="368">
        <v>9</v>
      </c>
      <c r="D97" s="368">
        <v>0</v>
      </c>
      <c r="E97" s="13">
        <v>20101001</v>
      </c>
      <c r="F97" s="40" t="s">
        <v>15</v>
      </c>
      <c r="G97" s="129">
        <v>315000</v>
      </c>
      <c r="H97" s="129">
        <v>321000</v>
      </c>
      <c r="I97" s="177">
        <v>311561.33299999998</v>
      </c>
      <c r="J97" s="129">
        <v>0</v>
      </c>
      <c r="K97" s="167">
        <f t="shared" si="27"/>
        <v>0.97059605295950147</v>
      </c>
      <c r="L97" s="168">
        <f t="shared" si="29"/>
        <v>8.7213451181278687E-3</v>
      </c>
    </row>
    <row r="98" spans="2:12" s="20" customFormat="1" x14ac:dyDescent="0.2">
      <c r="B98" s="367"/>
      <c r="C98" s="368"/>
      <c r="D98" s="368"/>
      <c r="E98" s="13">
        <v>20103001</v>
      </c>
      <c r="F98" s="40" t="s">
        <v>331</v>
      </c>
      <c r="G98" s="129">
        <v>52000</v>
      </c>
      <c r="H98" s="129">
        <v>52000</v>
      </c>
      <c r="I98" s="177">
        <v>37342.620000000003</v>
      </c>
      <c r="J98" s="129">
        <v>0</v>
      </c>
      <c r="K98" s="167">
        <f t="shared" si="27"/>
        <v>0.7181273076923077</v>
      </c>
      <c r="L98" s="168">
        <f t="shared" si="29"/>
        <v>1.0453090359422237E-3</v>
      </c>
    </row>
    <row r="99" spans="2:12" s="20" customFormat="1" x14ac:dyDescent="0.2">
      <c r="B99" s="367"/>
      <c r="C99" s="368"/>
      <c r="D99" s="368"/>
      <c r="E99" s="13">
        <v>23603002</v>
      </c>
      <c r="F99" s="40" t="s">
        <v>63</v>
      </c>
      <c r="G99" s="129">
        <v>75</v>
      </c>
      <c r="H99" s="129">
        <v>75</v>
      </c>
      <c r="I99" s="177"/>
      <c r="J99" s="129">
        <v>0</v>
      </c>
      <c r="K99" s="167">
        <f t="shared" si="27"/>
        <v>0</v>
      </c>
      <c r="L99" s="168">
        <f t="shared" si="29"/>
        <v>0</v>
      </c>
    </row>
    <row r="100" spans="2:12" s="20" customFormat="1" x14ac:dyDescent="0.2">
      <c r="B100" s="367"/>
      <c r="C100" s="368"/>
      <c r="D100" s="368"/>
      <c r="E100" s="364" t="s">
        <v>333</v>
      </c>
      <c r="F100" s="364"/>
      <c r="G100" s="62">
        <f t="shared" ref="G100:J100" si="35">SUM(G97:G99)</f>
        <v>367075</v>
      </c>
      <c r="H100" s="62">
        <f t="shared" si="35"/>
        <v>373075</v>
      </c>
      <c r="I100" s="62">
        <f t="shared" si="35"/>
        <v>348903.95299999998</v>
      </c>
      <c r="J100" s="62">
        <f t="shared" si="35"/>
        <v>0</v>
      </c>
      <c r="K100" s="167">
        <f t="shared" si="27"/>
        <v>0.93521129263552905</v>
      </c>
      <c r="L100" s="168">
        <f t="shared" si="29"/>
        <v>9.7666541540700931E-3</v>
      </c>
    </row>
    <row r="101" spans="2:12" s="20" customFormat="1" x14ac:dyDescent="0.2">
      <c r="B101" s="361" t="s">
        <v>334</v>
      </c>
      <c r="C101" s="361"/>
      <c r="D101" s="361"/>
      <c r="E101" s="361"/>
      <c r="F101" s="361"/>
      <c r="G101" s="49">
        <f>G100</f>
        <v>367075</v>
      </c>
      <c r="H101" s="49">
        <f t="shared" ref="H101:J101" si="36">H100</f>
        <v>373075</v>
      </c>
      <c r="I101" s="49">
        <f t="shared" si="36"/>
        <v>348903.95299999998</v>
      </c>
      <c r="J101" s="49">
        <f t="shared" si="36"/>
        <v>0</v>
      </c>
      <c r="K101" s="167">
        <f t="shared" si="27"/>
        <v>0.93521129263552905</v>
      </c>
      <c r="L101" s="168">
        <f t="shared" si="29"/>
        <v>9.7666541540700931E-3</v>
      </c>
    </row>
    <row r="102" spans="2:12" s="20" customFormat="1" x14ac:dyDescent="0.2">
      <c r="B102" s="367" t="s">
        <v>348</v>
      </c>
      <c r="C102" s="368">
        <v>12</v>
      </c>
      <c r="D102" s="368">
        <v>0</v>
      </c>
      <c r="E102" s="13">
        <v>20101001</v>
      </c>
      <c r="F102" s="40" t="s">
        <v>15</v>
      </c>
      <c r="G102" s="129">
        <v>400000</v>
      </c>
      <c r="H102" s="129">
        <v>390000</v>
      </c>
      <c r="I102" s="177">
        <v>366065.549</v>
      </c>
      <c r="J102" s="129">
        <v>0</v>
      </c>
      <c r="K102" s="167">
        <f t="shared" si="27"/>
        <v>0.93862961282051283</v>
      </c>
      <c r="L102" s="168">
        <f t="shared" si="29"/>
        <v>1.0247048174896429E-2</v>
      </c>
    </row>
    <row r="103" spans="2:12" s="20" customFormat="1" x14ac:dyDescent="0.2">
      <c r="B103" s="367"/>
      <c r="C103" s="368"/>
      <c r="D103" s="368"/>
      <c r="E103" s="13">
        <v>20103001</v>
      </c>
      <c r="F103" s="40" t="s">
        <v>331</v>
      </c>
      <c r="G103" s="129">
        <v>240000</v>
      </c>
      <c r="H103" s="129">
        <v>240000</v>
      </c>
      <c r="I103" s="177">
        <v>217308.815</v>
      </c>
      <c r="J103" s="129">
        <v>0</v>
      </c>
      <c r="K103" s="167">
        <f t="shared" si="27"/>
        <v>0.9054533958333334</v>
      </c>
      <c r="L103" s="168">
        <f t="shared" si="29"/>
        <v>6.0829922461090582E-3</v>
      </c>
    </row>
    <row r="104" spans="2:12" s="20" customFormat="1" x14ac:dyDescent="0.2">
      <c r="B104" s="367"/>
      <c r="C104" s="368"/>
      <c r="D104" s="368"/>
      <c r="E104" s="13">
        <v>22601001</v>
      </c>
      <c r="F104" s="40" t="s">
        <v>243</v>
      </c>
      <c r="G104" s="129">
        <v>2000</v>
      </c>
      <c r="H104" s="129">
        <v>2000</v>
      </c>
      <c r="I104" s="177"/>
      <c r="J104" s="129">
        <v>0</v>
      </c>
      <c r="K104" s="167">
        <f t="shared" si="27"/>
        <v>0</v>
      </c>
      <c r="L104" s="168">
        <f t="shared" si="29"/>
        <v>0</v>
      </c>
    </row>
    <row r="105" spans="2:12" s="20" customFormat="1" x14ac:dyDescent="0.2">
      <c r="B105" s="367"/>
      <c r="C105" s="368"/>
      <c r="D105" s="368"/>
      <c r="E105" s="13">
        <v>23603002</v>
      </c>
      <c r="F105" s="40" t="s">
        <v>63</v>
      </c>
      <c r="G105" s="129">
        <v>75</v>
      </c>
      <c r="H105" s="129">
        <v>75</v>
      </c>
      <c r="I105" s="177">
        <v>73</v>
      </c>
      <c r="J105" s="129">
        <v>0</v>
      </c>
      <c r="K105" s="167">
        <f t="shared" si="27"/>
        <v>0.97333333333333338</v>
      </c>
      <c r="L105" s="168">
        <f t="shared" si="29"/>
        <v>2.0434441831821744E-6</v>
      </c>
    </row>
    <row r="106" spans="2:12" s="20" customFormat="1" x14ac:dyDescent="0.2">
      <c r="B106" s="367"/>
      <c r="C106" s="368"/>
      <c r="D106" s="368"/>
      <c r="E106" s="364" t="s">
        <v>333</v>
      </c>
      <c r="F106" s="364"/>
      <c r="G106" s="62">
        <f t="shared" ref="G106:J106" si="37">SUM(G102:G105)</f>
        <v>642075</v>
      </c>
      <c r="H106" s="62">
        <f t="shared" si="37"/>
        <v>632075</v>
      </c>
      <c r="I106" s="62">
        <f t="shared" si="37"/>
        <v>583447.36400000006</v>
      </c>
      <c r="J106" s="62">
        <f t="shared" si="37"/>
        <v>0</v>
      </c>
      <c r="K106" s="167">
        <f t="shared" si="27"/>
        <v>0.9230666677213939</v>
      </c>
      <c r="L106" s="168">
        <f t="shared" si="29"/>
        <v>1.6332083865188671E-2</v>
      </c>
    </row>
    <row r="107" spans="2:12" s="20" customFormat="1" x14ac:dyDescent="0.2">
      <c r="B107" s="367"/>
      <c r="C107" s="368"/>
      <c r="D107" s="368"/>
      <c r="E107" s="13">
        <v>25601001</v>
      </c>
      <c r="F107" s="40" t="s">
        <v>453</v>
      </c>
      <c r="G107" s="129">
        <v>50000</v>
      </c>
      <c r="H107" s="129">
        <v>50000</v>
      </c>
      <c r="I107" s="177"/>
      <c r="J107" s="129">
        <v>0</v>
      </c>
      <c r="K107" s="167">
        <f t="shared" si="27"/>
        <v>0</v>
      </c>
      <c r="L107" s="168">
        <f t="shared" si="29"/>
        <v>0</v>
      </c>
    </row>
    <row r="108" spans="2:12" s="20" customFormat="1" x14ac:dyDescent="0.2">
      <c r="B108" s="367"/>
      <c r="C108" s="368"/>
      <c r="D108" s="368"/>
      <c r="E108" s="23">
        <v>25602001</v>
      </c>
      <c r="F108" s="79" t="s">
        <v>138</v>
      </c>
      <c r="G108" s="129">
        <v>10000</v>
      </c>
      <c r="H108" s="129">
        <v>10000</v>
      </c>
      <c r="I108" s="177">
        <v>289.75</v>
      </c>
      <c r="J108" s="129">
        <v>0</v>
      </c>
      <c r="K108" s="167">
        <f t="shared" si="27"/>
        <v>2.8975000000000001E-2</v>
      </c>
      <c r="L108" s="168">
        <f t="shared" si="29"/>
        <v>8.1107938640689731E-6</v>
      </c>
    </row>
    <row r="109" spans="2:12" s="20" customFormat="1" x14ac:dyDescent="0.2">
      <c r="B109" s="367"/>
      <c r="C109" s="368"/>
      <c r="D109" s="368"/>
      <c r="E109" s="23">
        <v>25603001</v>
      </c>
      <c r="F109" s="79" t="s">
        <v>449</v>
      </c>
      <c r="G109" s="129">
        <v>10000</v>
      </c>
      <c r="H109" s="129">
        <v>10000</v>
      </c>
      <c r="I109" s="177"/>
      <c r="J109" s="129">
        <v>1000</v>
      </c>
      <c r="K109" s="167">
        <f t="shared" si="27"/>
        <v>0</v>
      </c>
      <c r="L109" s="168">
        <f t="shared" si="29"/>
        <v>0</v>
      </c>
    </row>
    <row r="110" spans="2:12" s="20" customFormat="1" x14ac:dyDescent="0.2">
      <c r="B110" s="367"/>
      <c r="C110" s="368"/>
      <c r="D110" s="368"/>
      <c r="E110" s="319" t="s">
        <v>335</v>
      </c>
      <c r="F110" s="319"/>
      <c r="G110" s="57">
        <f>SUM(G107:G109)</f>
        <v>70000</v>
      </c>
      <c r="H110" s="57">
        <f>SUM(H107:H109)</f>
        <v>70000</v>
      </c>
      <c r="I110" s="57">
        <f>SUM(I107:I109)</f>
        <v>289.75</v>
      </c>
      <c r="J110" s="57">
        <f>SUM(J107:J109)</f>
        <v>1000</v>
      </c>
      <c r="K110" s="167">
        <f t="shared" si="27"/>
        <v>4.1392857142857143E-3</v>
      </c>
      <c r="L110" s="168">
        <f t="shared" si="29"/>
        <v>8.1107938640689731E-6</v>
      </c>
    </row>
    <row r="111" spans="2:12" s="20" customFormat="1" x14ac:dyDescent="0.2">
      <c r="B111" s="367"/>
      <c r="C111" s="368"/>
      <c r="D111" s="368"/>
      <c r="E111" s="23">
        <v>26301016</v>
      </c>
      <c r="F111" s="79" t="s">
        <v>454</v>
      </c>
      <c r="G111" s="129">
        <v>5000</v>
      </c>
      <c r="H111" s="129">
        <v>5000</v>
      </c>
      <c r="I111" s="177"/>
      <c r="J111" s="129">
        <v>0</v>
      </c>
      <c r="K111" s="167">
        <f t="shared" si="27"/>
        <v>0</v>
      </c>
      <c r="L111" s="168">
        <f t="shared" si="29"/>
        <v>0</v>
      </c>
    </row>
    <row r="112" spans="2:12" s="20" customFormat="1" x14ac:dyDescent="0.2">
      <c r="B112" s="367"/>
      <c r="C112" s="368"/>
      <c r="D112" s="368"/>
      <c r="E112" s="330" t="s">
        <v>336</v>
      </c>
      <c r="F112" s="330"/>
      <c r="G112" s="52">
        <f>SUM(G111:G111)</f>
        <v>5000</v>
      </c>
      <c r="H112" s="52">
        <f t="shared" ref="H112:J112" si="38">SUM(H111:H111)</f>
        <v>5000</v>
      </c>
      <c r="I112" s="52">
        <f t="shared" si="38"/>
        <v>0</v>
      </c>
      <c r="J112" s="52">
        <f t="shared" si="38"/>
        <v>0</v>
      </c>
      <c r="K112" s="167">
        <f t="shared" si="27"/>
        <v>0</v>
      </c>
      <c r="L112" s="168">
        <f t="shared" si="29"/>
        <v>0</v>
      </c>
    </row>
    <row r="113" spans="2:12" s="20" customFormat="1" x14ac:dyDescent="0.2">
      <c r="B113" s="361" t="s">
        <v>334</v>
      </c>
      <c r="C113" s="361"/>
      <c r="D113" s="361"/>
      <c r="E113" s="361"/>
      <c r="F113" s="361"/>
      <c r="G113" s="49">
        <f>G106+G110+G112</f>
        <v>717075</v>
      </c>
      <c r="H113" s="49">
        <f>H106+H110+H112</f>
        <v>707075</v>
      </c>
      <c r="I113" s="49">
        <f>I106+I110+I112</f>
        <v>583737.11400000006</v>
      </c>
      <c r="J113" s="49">
        <f>J106+J110+J112</f>
        <v>1000</v>
      </c>
      <c r="K113" s="167">
        <f t="shared" si="27"/>
        <v>0.82556604886327489</v>
      </c>
      <c r="L113" s="168">
        <f t="shared" si="29"/>
        <v>1.6340194659052738E-2</v>
      </c>
    </row>
    <row r="114" spans="2:12" s="20" customFormat="1" x14ac:dyDescent="0.2">
      <c r="B114" s="367" t="s">
        <v>436</v>
      </c>
      <c r="C114" s="368">
        <v>16</v>
      </c>
      <c r="D114" s="368">
        <v>0</v>
      </c>
      <c r="E114" s="13">
        <v>20103001</v>
      </c>
      <c r="F114" s="40" t="s">
        <v>331</v>
      </c>
      <c r="G114" s="129">
        <v>10000</v>
      </c>
      <c r="H114" s="129">
        <v>10000</v>
      </c>
      <c r="I114" s="177">
        <v>6686.57</v>
      </c>
      <c r="J114" s="129">
        <v>0</v>
      </c>
      <c r="K114" s="167">
        <f t="shared" si="27"/>
        <v>0.66865699999999995</v>
      </c>
      <c r="L114" s="168">
        <f t="shared" si="29"/>
        <v>1.8717304893069086E-4</v>
      </c>
    </row>
    <row r="115" spans="2:12" s="20" customFormat="1" x14ac:dyDescent="0.2">
      <c r="B115" s="367"/>
      <c r="C115" s="368"/>
      <c r="D115" s="368"/>
      <c r="E115" s="13">
        <v>23603002</v>
      </c>
      <c r="F115" s="40" t="s">
        <v>63</v>
      </c>
      <c r="G115" s="129">
        <v>75</v>
      </c>
      <c r="H115" s="129">
        <v>75</v>
      </c>
      <c r="I115" s="177"/>
      <c r="J115" s="129">
        <v>0</v>
      </c>
      <c r="K115" s="167">
        <f t="shared" si="27"/>
        <v>0</v>
      </c>
      <c r="L115" s="168">
        <f t="shared" si="29"/>
        <v>0</v>
      </c>
    </row>
    <row r="116" spans="2:12" s="20" customFormat="1" x14ac:dyDescent="0.2">
      <c r="B116" s="367"/>
      <c r="C116" s="368"/>
      <c r="D116" s="368"/>
      <c r="E116" s="364" t="s">
        <v>333</v>
      </c>
      <c r="F116" s="364"/>
      <c r="G116" s="62">
        <f t="shared" ref="G116" si="39">SUM(G114:G115)</f>
        <v>10075</v>
      </c>
      <c r="H116" s="62">
        <f t="shared" ref="H116:J116" si="40">SUM(H114:H115)</f>
        <v>10075</v>
      </c>
      <c r="I116" s="62">
        <f t="shared" si="40"/>
        <v>6686.57</v>
      </c>
      <c r="J116" s="62">
        <f t="shared" si="40"/>
        <v>0</v>
      </c>
      <c r="K116" s="167">
        <f t="shared" si="27"/>
        <v>0.6636794044665012</v>
      </c>
      <c r="L116" s="168">
        <f t="shared" si="29"/>
        <v>1.8717304893069086E-4</v>
      </c>
    </row>
    <row r="117" spans="2:12" s="20" customFormat="1" x14ac:dyDescent="0.2">
      <c r="B117" s="361" t="s">
        <v>334</v>
      </c>
      <c r="C117" s="361"/>
      <c r="D117" s="361"/>
      <c r="E117" s="361"/>
      <c r="F117" s="361"/>
      <c r="G117" s="49">
        <f t="shared" ref="G117" si="41">G116</f>
        <v>10075</v>
      </c>
      <c r="H117" s="49">
        <f t="shared" ref="H117:J117" si="42">H116</f>
        <v>10075</v>
      </c>
      <c r="I117" s="49">
        <f t="shared" si="42"/>
        <v>6686.57</v>
      </c>
      <c r="J117" s="49">
        <f t="shared" si="42"/>
        <v>0</v>
      </c>
      <c r="K117" s="167">
        <f t="shared" si="27"/>
        <v>0.6636794044665012</v>
      </c>
      <c r="L117" s="168">
        <f t="shared" si="29"/>
        <v>1.8717304893069086E-4</v>
      </c>
    </row>
    <row r="118" spans="2:12" s="20" customFormat="1" x14ac:dyDescent="0.2">
      <c r="B118" s="372" t="s">
        <v>610</v>
      </c>
      <c r="C118" s="369">
        <v>10</v>
      </c>
      <c r="D118" s="369">
        <v>0</v>
      </c>
      <c r="E118" s="13">
        <v>20101001</v>
      </c>
      <c r="F118" s="40" t="s">
        <v>15</v>
      </c>
      <c r="G118" s="129">
        <v>270000</v>
      </c>
      <c r="H118" s="129">
        <v>300000</v>
      </c>
      <c r="I118" s="177">
        <v>292603.092</v>
      </c>
      <c r="J118" s="129">
        <v>0</v>
      </c>
      <c r="K118" s="167">
        <f t="shared" ref="K118:K178" si="43">IFERROR(I118/H118,"")</f>
        <v>0.97534364000000007</v>
      </c>
      <c r="L118" s="168">
        <f t="shared" si="29"/>
        <v>8.1906587168290232E-3</v>
      </c>
    </row>
    <row r="119" spans="2:12" s="20" customFormat="1" x14ac:dyDescent="0.2">
      <c r="B119" s="372"/>
      <c r="C119" s="369"/>
      <c r="D119" s="369"/>
      <c r="E119" s="13">
        <v>20103001</v>
      </c>
      <c r="F119" s="40" t="s">
        <v>331</v>
      </c>
      <c r="G119" s="129">
        <v>110000</v>
      </c>
      <c r="H119" s="129">
        <v>113000</v>
      </c>
      <c r="I119" s="177">
        <v>108553.249</v>
      </c>
      <c r="J119" s="129">
        <v>0</v>
      </c>
      <c r="K119" s="167">
        <f t="shared" si="43"/>
        <v>0.960648221238938</v>
      </c>
      <c r="L119" s="168">
        <f t="shared" si="29"/>
        <v>3.0386644552681669E-3</v>
      </c>
    </row>
    <row r="120" spans="2:12" s="20" customFormat="1" x14ac:dyDescent="0.2">
      <c r="B120" s="372"/>
      <c r="C120" s="369"/>
      <c r="D120" s="369"/>
      <c r="E120" s="22">
        <v>22601001</v>
      </c>
      <c r="F120" s="77" t="s">
        <v>243</v>
      </c>
      <c r="G120" s="129">
        <v>5000</v>
      </c>
      <c r="H120" s="129">
        <v>5000</v>
      </c>
      <c r="I120" s="177"/>
      <c r="J120" s="129">
        <v>0</v>
      </c>
      <c r="K120" s="167">
        <f t="shared" si="43"/>
        <v>0</v>
      </c>
      <c r="L120" s="168">
        <f t="shared" si="29"/>
        <v>0</v>
      </c>
    </row>
    <row r="121" spans="2:12" s="20" customFormat="1" x14ac:dyDescent="0.2">
      <c r="B121" s="372"/>
      <c r="C121" s="369"/>
      <c r="D121" s="369"/>
      <c r="E121" s="13">
        <v>23603002</v>
      </c>
      <c r="F121" s="40" t="s">
        <v>63</v>
      </c>
      <c r="G121" s="129">
        <v>75</v>
      </c>
      <c r="H121" s="129">
        <v>75</v>
      </c>
      <c r="I121" s="177">
        <v>75</v>
      </c>
      <c r="J121" s="129">
        <v>0</v>
      </c>
      <c r="K121" s="167">
        <f t="shared" si="43"/>
        <v>1</v>
      </c>
      <c r="L121" s="168">
        <f t="shared" si="29"/>
        <v>2.0994289553241517E-6</v>
      </c>
    </row>
    <row r="122" spans="2:12" s="20" customFormat="1" x14ac:dyDescent="0.2">
      <c r="B122" s="372"/>
      <c r="C122" s="369"/>
      <c r="D122" s="369"/>
      <c r="E122" s="364" t="s">
        <v>333</v>
      </c>
      <c r="F122" s="364"/>
      <c r="G122" s="62">
        <f>SUM(G118:G121)</f>
        <v>385075</v>
      </c>
      <c r="H122" s="62">
        <f t="shared" ref="H122:J122" si="44">SUM(H118:H121)</f>
        <v>418075</v>
      </c>
      <c r="I122" s="62">
        <f t="shared" si="44"/>
        <v>401231.34100000001</v>
      </c>
      <c r="J122" s="62">
        <f t="shared" si="44"/>
        <v>0</v>
      </c>
      <c r="K122" s="167">
        <f t="shared" si="43"/>
        <v>0.95971139388865634</v>
      </c>
      <c r="L122" s="168">
        <f t="shared" si="29"/>
        <v>1.1231422601052515E-2</v>
      </c>
    </row>
    <row r="123" spans="2:12" s="20" customFormat="1" x14ac:dyDescent="0.2">
      <c r="B123" s="372"/>
      <c r="C123" s="369"/>
      <c r="D123" s="369"/>
      <c r="E123" s="13">
        <v>25601001</v>
      </c>
      <c r="F123" s="80" t="s">
        <v>453</v>
      </c>
      <c r="G123" s="129">
        <v>50000</v>
      </c>
      <c r="H123" s="129">
        <v>40000</v>
      </c>
      <c r="I123" s="177"/>
      <c r="J123" s="129">
        <v>0</v>
      </c>
      <c r="K123" s="167">
        <f t="shared" si="43"/>
        <v>0</v>
      </c>
      <c r="L123" s="168">
        <f t="shared" si="29"/>
        <v>0</v>
      </c>
    </row>
    <row r="124" spans="2:12" s="20" customFormat="1" x14ac:dyDescent="0.2">
      <c r="B124" s="372"/>
      <c r="C124" s="369"/>
      <c r="D124" s="369"/>
      <c r="E124" s="23">
        <v>25602001</v>
      </c>
      <c r="F124" s="79" t="s">
        <v>138</v>
      </c>
      <c r="G124" s="129">
        <v>3000</v>
      </c>
      <c r="H124" s="129">
        <v>3000</v>
      </c>
      <c r="I124" s="177"/>
      <c r="J124" s="129">
        <v>0</v>
      </c>
      <c r="K124" s="167">
        <f t="shared" si="43"/>
        <v>0</v>
      </c>
      <c r="L124" s="168">
        <f t="shared" si="29"/>
        <v>0</v>
      </c>
    </row>
    <row r="125" spans="2:12" s="20" customFormat="1" x14ac:dyDescent="0.2">
      <c r="B125" s="372"/>
      <c r="C125" s="369"/>
      <c r="D125" s="369"/>
      <c r="E125" s="23">
        <v>25603001</v>
      </c>
      <c r="F125" s="79" t="s">
        <v>449</v>
      </c>
      <c r="G125" s="129">
        <v>5000</v>
      </c>
      <c r="H125" s="129">
        <v>5000</v>
      </c>
      <c r="I125" s="177"/>
      <c r="J125" s="129">
        <v>0</v>
      </c>
      <c r="K125" s="167">
        <f t="shared" si="43"/>
        <v>0</v>
      </c>
      <c r="L125" s="168">
        <f t="shared" si="29"/>
        <v>0</v>
      </c>
    </row>
    <row r="126" spans="2:12" s="20" customFormat="1" x14ac:dyDescent="0.2">
      <c r="B126" s="372"/>
      <c r="C126" s="369"/>
      <c r="D126" s="369"/>
      <c r="E126" s="319" t="s">
        <v>335</v>
      </c>
      <c r="F126" s="319"/>
      <c r="G126" s="57">
        <f>SUM(G123:G125)</f>
        <v>58000</v>
      </c>
      <c r="H126" s="57">
        <f>SUM(H123:H125)</f>
        <v>48000</v>
      </c>
      <c r="I126" s="57">
        <f>SUM(I123:I125)</f>
        <v>0</v>
      </c>
      <c r="J126" s="57">
        <f>SUM(J123:J125)</f>
        <v>0</v>
      </c>
      <c r="K126" s="167">
        <f t="shared" si="43"/>
        <v>0</v>
      </c>
      <c r="L126" s="168">
        <f t="shared" si="29"/>
        <v>0</v>
      </c>
    </row>
    <row r="127" spans="2:12" s="20" customFormat="1" x14ac:dyDescent="0.2">
      <c r="B127" s="361" t="s">
        <v>334</v>
      </c>
      <c r="C127" s="361"/>
      <c r="D127" s="361"/>
      <c r="E127" s="361"/>
      <c r="F127" s="361"/>
      <c r="G127" s="49">
        <f>G122+G126</f>
        <v>443075</v>
      </c>
      <c r="H127" s="49">
        <f>H122+H126</f>
        <v>466075</v>
      </c>
      <c r="I127" s="49">
        <f>I122+I126</f>
        <v>401231.34100000001</v>
      </c>
      <c r="J127" s="49">
        <f>J122+J126</f>
        <v>0</v>
      </c>
      <c r="K127" s="167">
        <f t="shared" si="43"/>
        <v>0.86087290886659873</v>
      </c>
      <c r="L127" s="168">
        <f t="shared" si="29"/>
        <v>1.1231422601052515E-2</v>
      </c>
    </row>
    <row r="128" spans="2:12" s="20" customFormat="1" x14ac:dyDescent="0.2">
      <c r="B128" s="372" t="s">
        <v>347</v>
      </c>
      <c r="C128" s="369">
        <v>11</v>
      </c>
      <c r="D128" s="369">
        <v>0</v>
      </c>
      <c r="E128" s="13">
        <v>20101001</v>
      </c>
      <c r="F128" s="40" t="s">
        <v>15</v>
      </c>
      <c r="G128" s="129">
        <v>250000</v>
      </c>
      <c r="H128" s="129">
        <v>250000</v>
      </c>
      <c r="I128" s="177">
        <v>235478.902</v>
      </c>
      <c r="J128" s="129">
        <v>0</v>
      </c>
      <c r="K128" s="167">
        <f t="shared" si="43"/>
        <v>0.94191560799999996</v>
      </c>
      <c r="L128" s="168">
        <f t="shared" si="29"/>
        <v>6.591616336356511E-3</v>
      </c>
    </row>
    <row r="129" spans="2:12" s="20" customFormat="1" x14ac:dyDescent="0.2">
      <c r="B129" s="372"/>
      <c r="C129" s="369"/>
      <c r="D129" s="369"/>
      <c r="E129" s="13">
        <v>20103001</v>
      </c>
      <c r="F129" s="40" t="s">
        <v>331</v>
      </c>
      <c r="G129" s="129">
        <v>30000</v>
      </c>
      <c r="H129" s="129">
        <v>32500</v>
      </c>
      <c r="I129" s="177">
        <v>31349.503000000001</v>
      </c>
      <c r="J129" s="129">
        <v>0</v>
      </c>
      <c r="K129" s="167">
        <f t="shared" si="43"/>
        <v>0.96460009230769228</v>
      </c>
      <c r="L129" s="168">
        <f t="shared" si="29"/>
        <v>8.7754739110961822E-4</v>
      </c>
    </row>
    <row r="130" spans="2:12" s="20" customFormat="1" x14ac:dyDescent="0.2">
      <c r="B130" s="372"/>
      <c r="C130" s="369"/>
      <c r="D130" s="369"/>
      <c r="E130" s="13">
        <v>23603002</v>
      </c>
      <c r="F130" s="40" t="s">
        <v>63</v>
      </c>
      <c r="G130" s="129">
        <v>75</v>
      </c>
      <c r="H130" s="129">
        <v>75</v>
      </c>
      <c r="I130" s="177"/>
      <c r="J130" s="129">
        <v>0</v>
      </c>
      <c r="K130" s="167">
        <f t="shared" si="43"/>
        <v>0</v>
      </c>
      <c r="L130" s="168">
        <f t="shared" si="29"/>
        <v>0</v>
      </c>
    </row>
    <row r="131" spans="2:12" s="20" customFormat="1" x14ac:dyDescent="0.2">
      <c r="B131" s="372"/>
      <c r="C131" s="369"/>
      <c r="D131" s="369"/>
      <c r="E131" s="364" t="s">
        <v>333</v>
      </c>
      <c r="F131" s="364"/>
      <c r="G131" s="62">
        <f t="shared" ref="G131:J131" si="45">SUM(G128:G130)</f>
        <v>280075</v>
      </c>
      <c r="H131" s="62">
        <f t="shared" si="45"/>
        <v>282575</v>
      </c>
      <c r="I131" s="62">
        <f t="shared" si="45"/>
        <v>266828.40500000003</v>
      </c>
      <c r="J131" s="62">
        <f t="shared" si="45"/>
        <v>0</v>
      </c>
      <c r="K131" s="167">
        <f t="shared" si="43"/>
        <v>0.94427463505264098</v>
      </c>
      <c r="L131" s="168">
        <f t="shared" si="29"/>
        <v>7.4691637274661299E-3</v>
      </c>
    </row>
    <row r="132" spans="2:12" s="20" customFormat="1" x14ac:dyDescent="0.2">
      <c r="B132" s="361" t="s">
        <v>334</v>
      </c>
      <c r="C132" s="361"/>
      <c r="D132" s="361"/>
      <c r="E132" s="361"/>
      <c r="F132" s="361"/>
      <c r="G132" s="49">
        <f>G131</f>
        <v>280075</v>
      </c>
      <c r="H132" s="49">
        <f t="shared" ref="H132:J132" si="46">H131</f>
        <v>282575</v>
      </c>
      <c r="I132" s="49">
        <f t="shared" si="46"/>
        <v>266828.40500000003</v>
      </c>
      <c r="J132" s="49">
        <f t="shared" si="46"/>
        <v>0</v>
      </c>
      <c r="K132" s="167">
        <f t="shared" si="43"/>
        <v>0.94427463505264098</v>
      </c>
      <c r="L132" s="168">
        <f t="shared" ref="L132:L195" si="47">IFERROR(I132/$H$438,"")</f>
        <v>7.4691637274661299E-3</v>
      </c>
    </row>
    <row r="133" spans="2:12" s="20" customFormat="1" x14ac:dyDescent="0.2">
      <c r="B133" s="372" t="s">
        <v>408</v>
      </c>
      <c r="C133" s="369">
        <v>13</v>
      </c>
      <c r="D133" s="369">
        <v>0</v>
      </c>
      <c r="E133" s="13">
        <v>20103001</v>
      </c>
      <c r="F133" s="40" t="s">
        <v>331</v>
      </c>
      <c r="G133" s="129">
        <v>20000</v>
      </c>
      <c r="H133" s="129">
        <v>20000</v>
      </c>
      <c r="I133" s="177">
        <v>15750.77</v>
      </c>
      <c r="J133" s="129">
        <v>0</v>
      </c>
      <c r="K133" s="167">
        <f t="shared" si="43"/>
        <v>0.78753850000000003</v>
      </c>
      <c r="L133" s="168">
        <f t="shared" si="47"/>
        <v>4.4090163475534654E-4</v>
      </c>
    </row>
    <row r="134" spans="2:12" s="20" customFormat="1" x14ac:dyDescent="0.2">
      <c r="B134" s="372"/>
      <c r="C134" s="369"/>
      <c r="D134" s="369"/>
      <c r="E134" s="13">
        <v>23603002</v>
      </c>
      <c r="F134" s="40" t="s">
        <v>63</v>
      </c>
      <c r="G134" s="129">
        <v>75</v>
      </c>
      <c r="H134" s="129">
        <v>75</v>
      </c>
      <c r="I134" s="177"/>
      <c r="J134" s="129">
        <v>0</v>
      </c>
      <c r="K134" s="167">
        <f t="shared" si="43"/>
        <v>0</v>
      </c>
      <c r="L134" s="168">
        <f t="shared" si="47"/>
        <v>0</v>
      </c>
    </row>
    <row r="135" spans="2:12" s="20" customFormat="1" x14ac:dyDescent="0.2">
      <c r="B135" s="372"/>
      <c r="C135" s="369"/>
      <c r="D135" s="369"/>
      <c r="E135" s="364" t="s">
        <v>333</v>
      </c>
      <c r="F135" s="364"/>
      <c r="G135" s="62">
        <f t="shared" ref="G135" si="48">SUM(G133:G134)</f>
        <v>20075</v>
      </c>
      <c r="H135" s="62">
        <f t="shared" ref="H135:J135" si="49">SUM(H133:H134)</f>
        <v>20075</v>
      </c>
      <c r="I135" s="62">
        <f t="shared" si="49"/>
        <v>15750.77</v>
      </c>
      <c r="J135" s="62">
        <f t="shared" si="49"/>
        <v>0</v>
      </c>
      <c r="K135" s="167">
        <f t="shared" si="43"/>
        <v>0.78459626400996263</v>
      </c>
      <c r="L135" s="168">
        <f t="shared" si="47"/>
        <v>4.4090163475534654E-4</v>
      </c>
    </row>
    <row r="136" spans="2:12" s="20" customFormat="1" x14ac:dyDescent="0.2">
      <c r="B136" s="361" t="s">
        <v>334</v>
      </c>
      <c r="C136" s="361"/>
      <c r="D136" s="361"/>
      <c r="E136" s="361"/>
      <c r="F136" s="361"/>
      <c r="G136" s="49">
        <f>G135</f>
        <v>20075</v>
      </c>
      <c r="H136" s="49">
        <f t="shared" ref="H136:J136" si="50">H135</f>
        <v>20075</v>
      </c>
      <c r="I136" s="49">
        <f t="shared" si="50"/>
        <v>15750.77</v>
      </c>
      <c r="J136" s="49">
        <f t="shared" si="50"/>
        <v>0</v>
      </c>
      <c r="K136" s="167">
        <f t="shared" si="43"/>
        <v>0.78459626400996263</v>
      </c>
      <c r="L136" s="168">
        <f t="shared" si="47"/>
        <v>4.4090163475534654E-4</v>
      </c>
    </row>
    <row r="137" spans="2:12" s="20" customFormat="1" x14ac:dyDescent="0.2">
      <c r="B137" s="370" t="s">
        <v>349</v>
      </c>
      <c r="C137" s="371">
        <v>15</v>
      </c>
      <c r="D137" s="371">
        <v>0</v>
      </c>
      <c r="E137" s="13">
        <v>20103001</v>
      </c>
      <c r="F137" s="40" t="s">
        <v>331</v>
      </c>
      <c r="G137" s="129">
        <v>30000</v>
      </c>
      <c r="H137" s="129">
        <v>30000</v>
      </c>
      <c r="I137" s="177">
        <v>16945.909</v>
      </c>
      <c r="J137" s="129">
        <v>0</v>
      </c>
      <c r="K137" s="167">
        <f t="shared" si="43"/>
        <v>0.56486363333333334</v>
      </c>
      <c r="L137" s="168">
        <f t="shared" si="47"/>
        <v>4.7435642705184191E-4</v>
      </c>
    </row>
    <row r="138" spans="2:12" s="20" customFormat="1" x14ac:dyDescent="0.2">
      <c r="B138" s="370"/>
      <c r="C138" s="371"/>
      <c r="D138" s="371"/>
      <c r="E138" s="13">
        <v>22601001</v>
      </c>
      <c r="F138" s="40" t="s">
        <v>243</v>
      </c>
      <c r="G138" s="129">
        <v>1000</v>
      </c>
      <c r="H138" s="129">
        <v>1000</v>
      </c>
      <c r="I138" s="177"/>
      <c r="J138" s="129">
        <v>0</v>
      </c>
      <c r="K138" s="167">
        <f t="shared" si="43"/>
        <v>0</v>
      </c>
      <c r="L138" s="168">
        <f t="shared" si="47"/>
        <v>0</v>
      </c>
    </row>
    <row r="139" spans="2:12" s="20" customFormat="1" x14ac:dyDescent="0.2">
      <c r="B139" s="370"/>
      <c r="C139" s="371"/>
      <c r="D139" s="371"/>
      <c r="E139" s="13">
        <v>23603002</v>
      </c>
      <c r="F139" s="40" t="s">
        <v>63</v>
      </c>
      <c r="G139" s="129">
        <v>75</v>
      </c>
      <c r="H139" s="129">
        <v>75</v>
      </c>
      <c r="I139" s="177">
        <v>75</v>
      </c>
      <c r="J139" s="129">
        <v>0</v>
      </c>
      <c r="K139" s="167">
        <f t="shared" si="43"/>
        <v>1</v>
      </c>
      <c r="L139" s="168">
        <f t="shared" si="47"/>
        <v>2.0994289553241517E-6</v>
      </c>
    </row>
    <row r="140" spans="2:12" s="20" customFormat="1" x14ac:dyDescent="0.2">
      <c r="B140" s="370"/>
      <c r="C140" s="371"/>
      <c r="D140" s="371"/>
      <c r="E140" s="13">
        <v>23615001</v>
      </c>
      <c r="F140" s="40" t="s">
        <v>69</v>
      </c>
      <c r="G140" s="129">
        <v>1000</v>
      </c>
      <c r="H140" s="129">
        <v>1000</v>
      </c>
      <c r="I140" s="177"/>
      <c r="J140" s="129">
        <v>0</v>
      </c>
      <c r="K140" s="167">
        <f t="shared" si="43"/>
        <v>0</v>
      </c>
      <c r="L140" s="168">
        <f t="shared" si="47"/>
        <v>0</v>
      </c>
    </row>
    <row r="141" spans="2:12" s="20" customFormat="1" x14ac:dyDescent="0.2">
      <c r="B141" s="370"/>
      <c r="C141" s="371"/>
      <c r="D141" s="371"/>
      <c r="E141" s="364" t="s">
        <v>333</v>
      </c>
      <c r="F141" s="364"/>
      <c r="G141" s="62">
        <f t="shared" ref="G141:J141" si="51">SUM(G137:G140)</f>
        <v>32075</v>
      </c>
      <c r="H141" s="62">
        <f t="shared" si="51"/>
        <v>32075</v>
      </c>
      <c r="I141" s="62">
        <f t="shared" si="51"/>
        <v>17020.909</v>
      </c>
      <c r="J141" s="62">
        <f t="shared" si="51"/>
        <v>0</v>
      </c>
      <c r="K141" s="167">
        <f t="shared" si="43"/>
        <v>0.53065967264224467</v>
      </c>
      <c r="L141" s="168">
        <f t="shared" si="47"/>
        <v>4.7645585600716606E-4</v>
      </c>
    </row>
    <row r="142" spans="2:12" s="20" customFormat="1" x14ac:dyDescent="0.2">
      <c r="B142" s="370"/>
      <c r="C142" s="371"/>
      <c r="D142" s="371"/>
      <c r="E142" s="13">
        <v>25301002</v>
      </c>
      <c r="F142" s="40" t="s">
        <v>93</v>
      </c>
      <c r="G142" s="129">
        <v>10000</v>
      </c>
      <c r="H142" s="129">
        <v>10000</v>
      </c>
      <c r="I142" s="177"/>
      <c r="J142" s="129">
        <v>0</v>
      </c>
      <c r="K142" s="167">
        <f t="shared" si="43"/>
        <v>0</v>
      </c>
      <c r="L142" s="168">
        <f t="shared" si="47"/>
        <v>0</v>
      </c>
    </row>
    <row r="143" spans="2:12" s="20" customFormat="1" x14ac:dyDescent="0.2">
      <c r="B143" s="370"/>
      <c r="C143" s="371"/>
      <c r="D143" s="371"/>
      <c r="E143" s="319" t="s">
        <v>335</v>
      </c>
      <c r="F143" s="319"/>
      <c r="G143" s="57">
        <f t="shared" ref="G143" si="52">SUM(G142)</f>
        <v>10000</v>
      </c>
      <c r="H143" s="57">
        <f t="shared" ref="H143:J143" si="53">SUM(H142)</f>
        <v>10000</v>
      </c>
      <c r="I143" s="57">
        <f t="shared" si="53"/>
        <v>0</v>
      </c>
      <c r="J143" s="57">
        <f t="shared" si="53"/>
        <v>0</v>
      </c>
      <c r="K143" s="167">
        <f t="shared" si="43"/>
        <v>0</v>
      </c>
      <c r="L143" s="168">
        <f t="shared" si="47"/>
        <v>0</v>
      </c>
    </row>
    <row r="144" spans="2:12" s="20" customFormat="1" x14ac:dyDescent="0.2">
      <c r="B144" s="361" t="s">
        <v>334</v>
      </c>
      <c r="C144" s="361"/>
      <c r="D144" s="361"/>
      <c r="E144" s="361"/>
      <c r="F144" s="361"/>
      <c r="G144" s="49">
        <f t="shared" ref="G144" si="54">G141+G143</f>
        <v>42075</v>
      </c>
      <c r="H144" s="49">
        <f t="shared" ref="H144:J144" si="55">H141+H143</f>
        <v>42075</v>
      </c>
      <c r="I144" s="49">
        <f t="shared" si="55"/>
        <v>17020.909</v>
      </c>
      <c r="J144" s="49">
        <f t="shared" si="55"/>
        <v>0</v>
      </c>
      <c r="K144" s="167">
        <f t="shared" si="43"/>
        <v>0.40453734997029112</v>
      </c>
      <c r="L144" s="168">
        <f t="shared" si="47"/>
        <v>4.7645585600716606E-4</v>
      </c>
    </row>
    <row r="145" spans="2:13" s="20" customFormat="1" x14ac:dyDescent="0.2">
      <c r="B145" s="375" t="s">
        <v>350</v>
      </c>
      <c r="C145" s="376">
        <v>20</v>
      </c>
      <c r="D145" s="376">
        <v>0</v>
      </c>
      <c r="E145" s="13">
        <v>20103001</v>
      </c>
      <c r="F145" s="40" t="s">
        <v>331</v>
      </c>
      <c r="G145" s="129">
        <v>45000</v>
      </c>
      <c r="H145" s="129">
        <v>49300</v>
      </c>
      <c r="I145" s="177">
        <v>48428.148000000001</v>
      </c>
      <c r="J145" s="129">
        <v>0</v>
      </c>
      <c r="K145" s="167">
        <f t="shared" si="43"/>
        <v>0.98231537525354973</v>
      </c>
      <c r="L145" s="168">
        <f t="shared" si="47"/>
        <v>1.3556194155189788E-3</v>
      </c>
      <c r="M145" s="109"/>
    </row>
    <row r="146" spans="2:13" s="20" customFormat="1" x14ac:dyDescent="0.2">
      <c r="B146" s="375"/>
      <c r="C146" s="376"/>
      <c r="D146" s="376"/>
      <c r="E146" s="13">
        <v>23603002</v>
      </c>
      <c r="F146" s="40" t="s">
        <v>63</v>
      </c>
      <c r="G146" s="129">
        <v>75</v>
      </c>
      <c r="H146" s="129">
        <v>75</v>
      </c>
      <c r="I146" s="177">
        <v>72.599999999999994</v>
      </c>
      <c r="J146" s="129">
        <v>0</v>
      </c>
      <c r="K146" s="167">
        <f t="shared" si="43"/>
        <v>0.96799999999999997</v>
      </c>
      <c r="L146" s="168">
        <f t="shared" si="47"/>
        <v>2.0322472287537789E-6</v>
      </c>
    </row>
    <row r="147" spans="2:13" s="20" customFormat="1" x14ac:dyDescent="0.2">
      <c r="B147" s="375"/>
      <c r="C147" s="376"/>
      <c r="D147" s="376"/>
      <c r="E147" s="364" t="s">
        <v>333</v>
      </c>
      <c r="F147" s="364"/>
      <c r="G147" s="62">
        <f t="shared" ref="G147:J147" si="56">SUM(G145:G146)</f>
        <v>45075</v>
      </c>
      <c r="H147" s="62">
        <f t="shared" si="56"/>
        <v>49375</v>
      </c>
      <c r="I147" s="62">
        <f t="shared" si="56"/>
        <v>48500.748</v>
      </c>
      <c r="J147" s="62">
        <f t="shared" si="56"/>
        <v>0</v>
      </c>
      <c r="K147" s="167">
        <f t="shared" si="43"/>
        <v>0.98229363037974682</v>
      </c>
      <c r="L147" s="168">
        <f t="shared" si="47"/>
        <v>1.3576516627477326E-3</v>
      </c>
    </row>
    <row r="148" spans="2:13" s="20" customFormat="1" x14ac:dyDescent="0.2">
      <c r="B148" s="375"/>
      <c r="C148" s="376"/>
      <c r="D148" s="376"/>
      <c r="E148" s="13">
        <v>25201004</v>
      </c>
      <c r="F148" s="40" t="s">
        <v>91</v>
      </c>
      <c r="G148" s="129">
        <v>5000</v>
      </c>
      <c r="H148" s="129">
        <v>5000</v>
      </c>
      <c r="I148" s="177"/>
      <c r="J148" s="129">
        <v>0</v>
      </c>
      <c r="K148" s="167">
        <f t="shared" si="43"/>
        <v>0</v>
      </c>
      <c r="L148" s="168">
        <f t="shared" si="47"/>
        <v>0</v>
      </c>
    </row>
    <row r="149" spans="2:13" s="20" customFormat="1" x14ac:dyDescent="0.2">
      <c r="B149" s="375"/>
      <c r="C149" s="376"/>
      <c r="D149" s="376"/>
      <c r="E149" s="23">
        <v>25201005</v>
      </c>
      <c r="F149" s="79" t="s">
        <v>87</v>
      </c>
      <c r="G149" s="129">
        <v>10000</v>
      </c>
      <c r="H149" s="129">
        <v>10000</v>
      </c>
      <c r="I149" s="177">
        <v>300</v>
      </c>
      <c r="J149" s="129">
        <v>600</v>
      </c>
      <c r="K149" s="167">
        <f t="shared" si="43"/>
        <v>0.03</v>
      </c>
      <c r="L149" s="168">
        <f t="shared" si="47"/>
        <v>8.397715821296607E-6</v>
      </c>
    </row>
    <row r="150" spans="2:13" s="20" customFormat="1" x14ac:dyDescent="0.2">
      <c r="B150" s="375"/>
      <c r="C150" s="376"/>
      <c r="D150" s="376"/>
      <c r="E150" s="319" t="s">
        <v>335</v>
      </c>
      <c r="F150" s="319"/>
      <c r="G150" s="57">
        <f t="shared" ref="G150" si="57">SUM(G148:G149)</f>
        <v>15000</v>
      </c>
      <c r="H150" s="57">
        <f t="shared" ref="H150:J150" si="58">SUM(H148:H149)</f>
        <v>15000</v>
      </c>
      <c r="I150" s="57">
        <f t="shared" si="58"/>
        <v>300</v>
      </c>
      <c r="J150" s="57">
        <f t="shared" si="58"/>
        <v>600</v>
      </c>
      <c r="K150" s="167">
        <f t="shared" si="43"/>
        <v>0.02</v>
      </c>
      <c r="L150" s="168">
        <f t="shared" si="47"/>
        <v>8.397715821296607E-6</v>
      </c>
    </row>
    <row r="151" spans="2:13" s="20" customFormat="1" x14ac:dyDescent="0.2">
      <c r="B151" s="361" t="s">
        <v>334</v>
      </c>
      <c r="C151" s="361"/>
      <c r="D151" s="361"/>
      <c r="E151" s="361"/>
      <c r="F151" s="361"/>
      <c r="G151" s="49">
        <f t="shared" ref="G151" si="59">G147+G150</f>
        <v>60075</v>
      </c>
      <c r="H151" s="49">
        <f t="shared" ref="H151:J151" si="60">H147+H150</f>
        <v>64375</v>
      </c>
      <c r="I151" s="49">
        <f t="shared" si="60"/>
        <v>48800.748</v>
      </c>
      <c r="J151" s="49">
        <f t="shared" si="60"/>
        <v>600</v>
      </c>
      <c r="K151" s="167">
        <f t="shared" si="43"/>
        <v>0.75806987184466024</v>
      </c>
      <c r="L151" s="168">
        <f t="shared" si="47"/>
        <v>1.3660493785690292E-3</v>
      </c>
    </row>
    <row r="152" spans="2:13" s="20" customFormat="1" x14ac:dyDescent="0.2">
      <c r="B152" s="375" t="s">
        <v>351</v>
      </c>
      <c r="C152" s="376">
        <v>21</v>
      </c>
      <c r="D152" s="376">
        <v>0</v>
      </c>
      <c r="E152" s="13">
        <v>20103001</v>
      </c>
      <c r="F152" s="40" t="s">
        <v>331</v>
      </c>
      <c r="G152" s="129">
        <v>70000</v>
      </c>
      <c r="H152" s="129">
        <v>70000</v>
      </c>
      <c r="I152" s="177">
        <v>51117.02</v>
      </c>
      <c r="J152" s="129">
        <v>0</v>
      </c>
      <c r="K152" s="167">
        <f t="shared" si="43"/>
        <v>0.73024314285714276</v>
      </c>
      <c r="L152" s="168">
        <f t="shared" si="47"/>
        <v>1.4308873586384501E-3</v>
      </c>
    </row>
    <row r="153" spans="2:13" s="20" customFormat="1" x14ac:dyDescent="0.2">
      <c r="B153" s="375"/>
      <c r="C153" s="376"/>
      <c r="D153" s="376"/>
      <c r="E153" s="13">
        <v>23603002</v>
      </c>
      <c r="F153" s="40" t="s">
        <v>63</v>
      </c>
      <c r="G153" s="129">
        <v>75</v>
      </c>
      <c r="H153" s="129">
        <v>75</v>
      </c>
      <c r="I153" s="177">
        <v>45</v>
      </c>
      <c r="J153" s="129">
        <v>0</v>
      </c>
      <c r="K153" s="167">
        <f t="shared" si="43"/>
        <v>0.6</v>
      </c>
      <c r="L153" s="168">
        <f t="shared" si="47"/>
        <v>1.2596573731944911E-6</v>
      </c>
    </row>
    <row r="154" spans="2:13" s="20" customFormat="1" x14ac:dyDescent="0.2">
      <c r="B154" s="375"/>
      <c r="C154" s="376"/>
      <c r="D154" s="376"/>
      <c r="E154" s="364" t="s">
        <v>333</v>
      </c>
      <c r="F154" s="364"/>
      <c r="G154" s="62">
        <f t="shared" ref="G154:J154" si="61">SUM(G152:G153)</f>
        <v>70075</v>
      </c>
      <c r="H154" s="62">
        <f t="shared" si="61"/>
        <v>70075</v>
      </c>
      <c r="I154" s="62">
        <f t="shared" si="61"/>
        <v>51162.02</v>
      </c>
      <c r="J154" s="62">
        <f t="shared" si="61"/>
        <v>0</v>
      </c>
      <c r="K154" s="167">
        <f t="shared" si="43"/>
        <v>0.73010374598644301</v>
      </c>
      <c r="L154" s="168">
        <f t="shared" si="47"/>
        <v>1.4321470160116446E-3</v>
      </c>
    </row>
    <row r="155" spans="2:13" s="20" customFormat="1" x14ac:dyDescent="0.2">
      <c r="B155" s="375"/>
      <c r="C155" s="376"/>
      <c r="D155" s="376"/>
      <c r="E155" s="13">
        <v>25101001</v>
      </c>
      <c r="F155" s="40" t="s">
        <v>85</v>
      </c>
      <c r="G155" s="129">
        <v>100000</v>
      </c>
      <c r="H155" s="129">
        <v>10000</v>
      </c>
      <c r="I155" s="177"/>
      <c r="J155" s="129">
        <v>5000</v>
      </c>
      <c r="K155" s="167">
        <f t="shared" si="43"/>
        <v>0</v>
      </c>
      <c r="L155" s="168">
        <f t="shared" si="47"/>
        <v>0</v>
      </c>
    </row>
    <row r="156" spans="2:13" s="20" customFormat="1" x14ac:dyDescent="0.2">
      <c r="B156" s="375"/>
      <c r="C156" s="376"/>
      <c r="D156" s="376"/>
      <c r="E156" s="13">
        <v>25101002</v>
      </c>
      <c r="F156" s="40" t="s">
        <v>86</v>
      </c>
      <c r="G156" s="129">
        <v>60000</v>
      </c>
      <c r="H156" s="129">
        <v>35000</v>
      </c>
      <c r="I156" s="177">
        <v>20775</v>
      </c>
      <c r="J156" s="129">
        <v>0</v>
      </c>
      <c r="K156" s="167">
        <f t="shared" si="43"/>
        <v>0.59357142857142853</v>
      </c>
      <c r="L156" s="168">
        <f t="shared" si="47"/>
        <v>5.8154182062479011E-4</v>
      </c>
    </row>
    <row r="157" spans="2:13" s="20" customFormat="1" x14ac:dyDescent="0.2">
      <c r="B157" s="375"/>
      <c r="C157" s="376"/>
      <c r="D157" s="376"/>
      <c r="E157" s="23">
        <v>25102001</v>
      </c>
      <c r="F157" s="80" t="s">
        <v>482</v>
      </c>
      <c r="G157" s="129">
        <v>15000</v>
      </c>
      <c r="H157" s="129">
        <v>15000</v>
      </c>
      <c r="I157" s="177">
        <v>4598.7370000000001</v>
      </c>
      <c r="J157" s="129">
        <v>0</v>
      </c>
      <c r="K157" s="167">
        <f t="shared" si="43"/>
        <v>0.30658246666666666</v>
      </c>
      <c r="L157" s="168">
        <f t="shared" si="47"/>
        <v>1.2872962154294033E-4</v>
      </c>
    </row>
    <row r="158" spans="2:13" s="20" customFormat="1" x14ac:dyDescent="0.2">
      <c r="B158" s="375"/>
      <c r="C158" s="376"/>
      <c r="D158" s="376"/>
      <c r="E158" s="13">
        <v>25301001</v>
      </c>
      <c r="F158" s="40" t="s">
        <v>92</v>
      </c>
      <c r="G158" s="129">
        <v>100000</v>
      </c>
      <c r="H158" s="129">
        <v>10000</v>
      </c>
      <c r="I158" s="177">
        <v>2356.25</v>
      </c>
      <c r="J158" s="129">
        <v>0</v>
      </c>
      <c r="K158" s="167">
        <f t="shared" si="43"/>
        <v>0.235625</v>
      </c>
      <c r="L158" s="168">
        <f t="shared" si="47"/>
        <v>6.5957059679767102E-5</v>
      </c>
    </row>
    <row r="159" spans="2:13" s="20" customFormat="1" x14ac:dyDescent="0.2">
      <c r="B159" s="375"/>
      <c r="C159" s="376"/>
      <c r="D159" s="376"/>
      <c r="E159" s="13">
        <v>25301002</v>
      </c>
      <c r="F159" s="40" t="s">
        <v>93</v>
      </c>
      <c r="G159" s="129">
        <v>10000</v>
      </c>
      <c r="H159" s="129">
        <v>10000</v>
      </c>
      <c r="I159" s="177"/>
      <c r="J159" s="129">
        <v>0</v>
      </c>
      <c r="K159" s="167">
        <f t="shared" si="43"/>
        <v>0</v>
      </c>
      <c r="L159" s="168">
        <f t="shared" si="47"/>
        <v>0</v>
      </c>
    </row>
    <row r="160" spans="2:13" s="20" customFormat="1" x14ac:dyDescent="0.2">
      <c r="B160" s="375"/>
      <c r="C160" s="376"/>
      <c r="D160" s="376"/>
      <c r="E160" s="13">
        <v>25301003</v>
      </c>
      <c r="F160" s="40" t="s">
        <v>94</v>
      </c>
      <c r="G160" s="129">
        <v>10000</v>
      </c>
      <c r="H160" s="129">
        <v>10000</v>
      </c>
      <c r="I160" s="177"/>
      <c r="J160" s="129">
        <v>0</v>
      </c>
      <c r="K160" s="167">
        <f t="shared" si="43"/>
        <v>0</v>
      </c>
      <c r="L160" s="168">
        <f t="shared" si="47"/>
        <v>0</v>
      </c>
    </row>
    <row r="161" spans="2:12" s="20" customFormat="1" x14ac:dyDescent="0.2">
      <c r="B161" s="375"/>
      <c r="C161" s="376"/>
      <c r="D161" s="376"/>
      <c r="E161" s="13">
        <v>25401001</v>
      </c>
      <c r="F161" s="40" t="s">
        <v>450</v>
      </c>
      <c r="G161" s="129">
        <v>20000</v>
      </c>
      <c r="H161" s="129">
        <v>20000</v>
      </c>
      <c r="I161" s="177">
        <v>6750</v>
      </c>
      <c r="J161" s="129">
        <v>0</v>
      </c>
      <c r="K161" s="167">
        <f t="shared" si="43"/>
        <v>0.33750000000000002</v>
      </c>
      <c r="L161" s="168">
        <f t="shared" si="47"/>
        <v>1.8894860597917367E-4</v>
      </c>
    </row>
    <row r="162" spans="2:12" s="20" customFormat="1" x14ac:dyDescent="0.2">
      <c r="B162" s="375"/>
      <c r="C162" s="376"/>
      <c r="D162" s="376"/>
      <c r="E162" s="13">
        <v>25401002</v>
      </c>
      <c r="F162" s="40" t="s">
        <v>95</v>
      </c>
      <c r="G162" s="129">
        <v>1000</v>
      </c>
      <c r="H162" s="129">
        <v>1000</v>
      </c>
      <c r="I162" s="177"/>
      <c r="J162" s="129">
        <v>0</v>
      </c>
      <c r="K162" s="167">
        <f t="shared" si="43"/>
        <v>0</v>
      </c>
      <c r="L162" s="168">
        <f t="shared" si="47"/>
        <v>0</v>
      </c>
    </row>
    <row r="163" spans="2:12" s="20" customFormat="1" x14ac:dyDescent="0.2">
      <c r="B163" s="375"/>
      <c r="C163" s="376"/>
      <c r="D163" s="376"/>
      <c r="E163" s="13">
        <v>25401003</v>
      </c>
      <c r="F163" s="40" t="s">
        <v>96</v>
      </c>
      <c r="G163" s="129">
        <v>1000</v>
      </c>
      <c r="H163" s="129">
        <v>1000</v>
      </c>
      <c r="I163" s="177"/>
      <c r="J163" s="129">
        <v>0</v>
      </c>
      <c r="K163" s="167">
        <f t="shared" si="43"/>
        <v>0</v>
      </c>
      <c r="L163" s="168">
        <f t="shared" si="47"/>
        <v>0</v>
      </c>
    </row>
    <row r="164" spans="2:12" s="20" customFormat="1" x14ac:dyDescent="0.2">
      <c r="B164" s="375"/>
      <c r="C164" s="376"/>
      <c r="D164" s="376"/>
      <c r="E164" s="13">
        <v>25401005</v>
      </c>
      <c r="F164" s="40" t="s">
        <v>352</v>
      </c>
      <c r="G164" s="129">
        <v>25000</v>
      </c>
      <c r="H164" s="129">
        <v>25000</v>
      </c>
      <c r="I164" s="177">
        <v>18495</v>
      </c>
      <c r="J164" s="129">
        <v>0</v>
      </c>
      <c r="K164" s="167">
        <f t="shared" si="43"/>
        <v>0.73980000000000001</v>
      </c>
      <c r="L164" s="168">
        <f t="shared" si="47"/>
        <v>5.1771918038293584E-4</v>
      </c>
    </row>
    <row r="165" spans="2:12" s="20" customFormat="1" x14ac:dyDescent="0.2">
      <c r="B165" s="375"/>
      <c r="C165" s="376"/>
      <c r="D165" s="376"/>
      <c r="E165" s="319" t="s">
        <v>335</v>
      </c>
      <c r="F165" s="319"/>
      <c r="G165" s="57">
        <f t="shared" ref="G165" si="62">SUM(G155:G164)</f>
        <v>342000</v>
      </c>
      <c r="H165" s="57">
        <f t="shared" ref="H165:J165" si="63">SUM(H155:H164)</f>
        <v>137000</v>
      </c>
      <c r="I165" s="57">
        <f t="shared" si="63"/>
        <v>52974.987000000001</v>
      </c>
      <c r="J165" s="57">
        <f t="shared" si="63"/>
        <v>5000</v>
      </c>
      <c r="K165" s="167">
        <f t="shared" si="43"/>
        <v>0.38667873722627738</v>
      </c>
      <c r="L165" s="168">
        <f t="shared" si="47"/>
        <v>1.482896288209607E-3</v>
      </c>
    </row>
    <row r="166" spans="2:12" s="20" customFormat="1" x14ac:dyDescent="0.2">
      <c r="B166" s="361" t="s">
        <v>334</v>
      </c>
      <c r="C166" s="361"/>
      <c r="D166" s="361"/>
      <c r="E166" s="361"/>
      <c r="F166" s="361"/>
      <c r="G166" s="49">
        <f t="shared" ref="G166" si="64">G154+G165</f>
        <v>412075</v>
      </c>
      <c r="H166" s="49">
        <f t="shared" ref="H166:J166" si="65">H154+H165</f>
        <v>207075</v>
      </c>
      <c r="I166" s="49">
        <f t="shared" si="65"/>
        <v>104137.007</v>
      </c>
      <c r="J166" s="49">
        <f t="shared" si="65"/>
        <v>5000</v>
      </c>
      <c r="K166" s="167">
        <f t="shared" si="43"/>
        <v>0.50289512012555837</v>
      </c>
      <c r="L166" s="168">
        <f t="shared" si="47"/>
        <v>2.9150433042212519E-3</v>
      </c>
    </row>
    <row r="167" spans="2:12" s="20" customFormat="1" x14ac:dyDescent="0.2">
      <c r="B167" s="375" t="s">
        <v>353</v>
      </c>
      <c r="C167" s="376">
        <v>31</v>
      </c>
      <c r="D167" s="376">
        <v>0</v>
      </c>
      <c r="E167" s="13">
        <v>20103001</v>
      </c>
      <c r="F167" s="40" t="s">
        <v>331</v>
      </c>
      <c r="G167" s="129">
        <v>600000</v>
      </c>
      <c r="H167" s="129">
        <v>586700</v>
      </c>
      <c r="I167" s="177">
        <v>535991.07400000002</v>
      </c>
      <c r="J167" s="129">
        <v>0</v>
      </c>
      <c r="K167" s="167">
        <f t="shared" si="43"/>
        <v>0.91356924152036822</v>
      </c>
      <c r="L167" s="168">
        <f t="shared" si="47"/>
        <v>1.5003669074011869E-2</v>
      </c>
    </row>
    <row r="168" spans="2:12" s="20" customFormat="1" x14ac:dyDescent="0.2">
      <c r="B168" s="375"/>
      <c r="C168" s="376"/>
      <c r="D168" s="376"/>
      <c r="E168" s="13">
        <v>21606002</v>
      </c>
      <c r="F168" s="40" t="s">
        <v>40</v>
      </c>
      <c r="G168" s="129">
        <v>7000</v>
      </c>
      <c r="H168" s="129">
        <v>7000</v>
      </c>
      <c r="I168" s="177"/>
      <c r="J168" s="129">
        <v>0</v>
      </c>
      <c r="K168" s="167">
        <f t="shared" si="43"/>
        <v>0</v>
      </c>
      <c r="L168" s="168">
        <f t="shared" si="47"/>
        <v>0</v>
      </c>
    </row>
    <row r="169" spans="2:12" s="20" customFormat="1" x14ac:dyDescent="0.2">
      <c r="B169" s="375"/>
      <c r="C169" s="376"/>
      <c r="D169" s="376"/>
      <c r="E169" s="13">
        <v>22601001</v>
      </c>
      <c r="F169" s="40" t="s">
        <v>243</v>
      </c>
      <c r="G169" s="129">
        <v>15000</v>
      </c>
      <c r="H169" s="129">
        <v>15000</v>
      </c>
      <c r="I169" s="177">
        <v>2505.5500000000002</v>
      </c>
      <c r="J169" s="129">
        <v>0</v>
      </c>
      <c r="K169" s="167">
        <f t="shared" si="43"/>
        <v>0.16703666666666667</v>
      </c>
      <c r="L169" s="168">
        <f t="shared" si="47"/>
        <v>7.0136322920165726E-5</v>
      </c>
    </row>
    <row r="170" spans="2:12" s="20" customFormat="1" x14ac:dyDescent="0.2">
      <c r="B170" s="375"/>
      <c r="C170" s="376"/>
      <c r="D170" s="376"/>
      <c r="E170" s="13">
        <v>22601003</v>
      </c>
      <c r="F170" s="40" t="s">
        <v>354</v>
      </c>
      <c r="G170" s="129">
        <v>7000</v>
      </c>
      <c r="H170" s="129">
        <v>7000</v>
      </c>
      <c r="I170" s="177">
        <v>918.75</v>
      </c>
      <c r="J170" s="129">
        <v>393.75</v>
      </c>
      <c r="K170" s="167">
        <f t="shared" si="43"/>
        <v>0.13125000000000001</v>
      </c>
      <c r="L170" s="168">
        <f t="shared" si="47"/>
        <v>2.5718004702720858E-5</v>
      </c>
    </row>
    <row r="171" spans="2:12" s="20" customFormat="1" x14ac:dyDescent="0.2">
      <c r="B171" s="375"/>
      <c r="C171" s="376"/>
      <c r="D171" s="376"/>
      <c r="E171" s="13">
        <v>22601006</v>
      </c>
      <c r="F171" s="40" t="s">
        <v>242</v>
      </c>
      <c r="G171" s="129">
        <v>15000</v>
      </c>
      <c r="H171" s="129">
        <v>15000</v>
      </c>
      <c r="I171" s="177"/>
      <c r="J171" s="129">
        <v>0</v>
      </c>
      <c r="K171" s="167">
        <f t="shared" si="43"/>
        <v>0</v>
      </c>
      <c r="L171" s="168">
        <f t="shared" si="47"/>
        <v>0</v>
      </c>
    </row>
    <row r="172" spans="2:12" s="20" customFormat="1" x14ac:dyDescent="0.2">
      <c r="B172" s="375"/>
      <c r="C172" s="376"/>
      <c r="D172" s="376"/>
      <c r="E172" s="13">
        <v>22601009</v>
      </c>
      <c r="F172" s="40" t="s">
        <v>44</v>
      </c>
      <c r="G172" s="129">
        <v>5000</v>
      </c>
      <c r="H172" s="129">
        <v>5000</v>
      </c>
      <c r="I172" s="177">
        <v>275.69600000000003</v>
      </c>
      <c r="J172" s="129">
        <v>0</v>
      </c>
      <c r="K172" s="167">
        <f t="shared" si="43"/>
        <v>5.5139200000000006E-2</v>
      </c>
      <c r="L172" s="168">
        <f t="shared" si="47"/>
        <v>7.7173888702272984E-6</v>
      </c>
    </row>
    <row r="173" spans="2:12" s="20" customFormat="1" x14ac:dyDescent="0.2">
      <c r="B173" s="375"/>
      <c r="C173" s="376"/>
      <c r="D173" s="376"/>
      <c r="E173" s="13">
        <v>22602001</v>
      </c>
      <c r="F173" s="40" t="s">
        <v>45</v>
      </c>
      <c r="G173" s="129">
        <v>100000</v>
      </c>
      <c r="H173" s="129">
        <v>100000</v>
      </c>
      <c r="I173" s="177">
        <v>13125</v>
      </c>
      <c r="J173" s="129">
        <v>0</v>
      </c>
      <c r="K173" s="167">
        <f t="shared" si="43"/>
        <v>0.13125000000000001</v>
      </c>
      <c r="L173" s="168">
        <f t="shared" si="47"/>
        <v>3.6740006718172658E-4</v>
      </c>
    </row>
    <row r="174" spans="2:12" s="20" customFormat="1" x14ac:dyDescent="0.2">
      <c r="B174" s="375"/>
      <c r="C174" s="376"/>
      <c r="D174" s="376"/>
      <c r="E174" s="13">
        <v>22603001</v>
      </c>
      <c r="F174" s="40" t="s">
        <v>46</v>
      </c>
      <c r="G174" s="129">
        <v>120000</v>
      </c>
      <c r="H174" s="129">
        <v>120000</v>
      </c>
      <c r="I174" s="177">
        <v>43872.08</v>
      </c>
      <c r="J174" s="129">
        <v>1</v>
      </c>
      <c r="K174" s="167">
        <f t="shared" si="43"/>
        <v>0.36560066666666668</v>
      </c>
      <c r="L174" s="168">
        <f t="shared" si="47"/>
        <v>1.2280842010973015E-3</v>
      </c>
    </row>
    <row r="175" spans="2:12" s="20" customFormat="1" x14ac:dyDescent="0.2">
      <c r="B175" s="375"/>
      <c r="C175" s="376"/>
      <c r="D175" s="376"/>
      <c r="E175" s="13">
        <v>22604001</v>
      </c>
      <c r="F175" s="40" t="s">
        <v>47</v>
      </c>
      <c r="G175" s="129">
        <v>25000</v>
      </c>
      <c r="H175" s="129">
        <v>25000</v>
      </c>
      <c r="I175" s="177"/>
      <c r="J175" s="129">
        <v>20001</v>
      </c>
      <c r="K175" s="167">
        <f t="shared" si="43"/>
        <v>0</v>
      </c>
      <c r="L175" s="168">
        <f t="shared" si="47"/>
        <v>0</v>
      </c>
    </row>
    <row r="176" spans="2:12" s="20" customFormat="1" x14ac:dyDescent="0.2">
      <c r="B176" s="375"/>
      <c r="C176" s="376"/>
      <c r="D176" s="376"/>
      <c r="E176" s="13">
        <v>22605002</v>
      </c>
      <c r="F176" s="40" t="s">
        <v>48</v>
      </c>
      <c r="G176" s="129">
        <v>15000</v>
      </c>
      <c r="H176" s="129">
        <v>15000</v>
      </c>
      <c r="I176" s="177"/>
      <c r="J176" s="129">
        <v>0</v>
      </c>
      <c r="K176" s="167">
        <f t="shared" si="43"/>
        <v>0</v>
      </c>
      <c r="L176" s="168">
        <f t="shared" si="47"/>
        <v>0</v>
      </c>
    </row>
    <row r="177" spans="2:12" s="20" customFormat="1" x14ac:dyDescent="0.2">
      <c r="B177" s="375"/>
      <c r="C177" s="376"/>
      <c r="D177" s="376"/>
      <c r="E177" s="13">
        <v>22605003</v>
      </c>
      <c r="F177" s="40" t="s">
        <v>49</v>
      </c>
      <c r="G177" s="129">
        <v>5000</v>
      </c>
      <c r="H177" s="129">
        <v>5000</v>
      </c>
      <c r="I177" s="177"/>
      <c r="J177" s="129">
        <v>0</v>
      </c>
      <c r="K177" s="167">
        <f t="shared" si="43"/>
        <v>0</v>
      </c>
      <c r="L177" s="168">
        <f t="shared" si="47"/>
        <v>0</v>
      </c>
    </row>
    <row r="178" spans="2:12" s="20" customFormat="1" x14ac:dyDescent="0.2">
      <c r="B178" s="375"/>
      <c r="C178" s="376"/>
      <c r="D178" s="376"/>
      <c r="E178" s="13">
        <v>22607001</v>
      </c>
      <c r="F178" s="40" t="s">
        <v>50</v>
      </c>
      <c r="G178" s="129">
        <v>2000</v>
      </c>
      <c r="H178" s="129">
        <v>2000</v>
      </c>
      <c r="I178" s="177"/>
      <c r="J178" s="129">
        <v>0</v>
      </c>
      <c r="K178" s="167">
        <f t="shared" si="43"/>
        <v>0</v>
      </c>
      <c r="L178" s="168">
        <f t="shared" si="47"/>
        <v>0</v>
      </c>
    </row>
    <row r="179" spans="2:12" s="20" customFormat="1" x14ac:dyDescent="0.2">
      <c r="B179" s="375"/>
      <c r="C179" s="376"/>
      <c r="D179" s="376"/>
      <c r="E179" s="23">
        <v>22609001</v>
      </c>
      <c r="F179" s="79" t="s">
        <v>271</v>
      </c>
      <c r="G179" s="129">
        <v>5000</v>
      </c>
      <c r="H179" s="129">
        <v>5000</v>
      </c>
      <c r="I179" s="177">
        <v>520</v>
      </c>
      <c r="J179" s="129">
        <v>0</v>
      </c>
      <c r="K179" s="167">
        <f t="shared" ref="K179:K207" si="66">IFERROR(I179/H179,"")</f>
        <v>0.104</v>
      </c>
      <c r="L179" s="168">
        <f t="shared" si="47"/>
        <v>1.4556040756914119E-5</v>
      </c>
    </row>
    <row r="180" spans="2:12" s="20" customFormat="1" x14ac:dyDescent="0.2">
      <c r="B180" s="375"/>
      <c r="C180" s="376"/>
      <c r="D180" s="376"/>
      <c r="E180" s="13">
        <v>23603002</v>
      </c>
      <c r="F180" s="40" t="s">
        <v>63</v>
      </c>
      <c r="G180" s="129">
        <v>600</v>
      </c>
      <c r="H180" s="129">
        <v>600</v>
      </c>
      <c r="I180" s="177">
        <v>344.9</v>
      </c>
      <c r="J180" s="129">
        <v>0</v>
      </c>
      <c r="K180" s="167">
        <f t="shared" si="66"/>
        <v>0.57483333333333331</v>
      </c>
      <c r="L180" s="168">
        <f t="shared" si="47"/>
        <v>9.6545739558839995E-6</v>
      </c>
    </row>
    <row r="181" spans="2:12" s="20" customFormat="1" x14ac:dyDescent="0.2">
      <c r="B181" s="375"/>
      <c r="C181" s="376"/>
      <c r="D181" s="376"/>
      <c r="E181" s="364" t="s">
        <v>333</v>
      </c>
      <c r="F181" s="364"/>
      <c r="G181" s="62">
        <f>SUM(G167:G180)</f>
        <v>921600</v>
      </c>
      <c r="H181" s="62">
        <f t="shared" ref="H181:J181" si="67">SUM(H167:H180)</f>
        <v>908300</v>
      </c>
      <c r="I181" s="62">
        <f t="shared" si="67"/>
        <v>597553.05000000005</v>
      </c>
      <c r="J181" s="62">
        <f t="shared" si="67"/>
        <v>20395.75</v>
      </c>
      <c r="K181" s="167">
        <f t="shared" si="66"/>
        <v>0.65788071121876035</v>
      </c>
      <c r="L181" s="168">
        <f t="shared" si="47"/>
        <v>1.6726935673496809E-2</v>
      </c>
    </row>
    <row r="182" spans="2:12" s="20" customFormat="1" x14ac:dyDescent="0.2">
      <c r="B182" s="375"/>
      <c r="C182" s="376"/>
      <c r="D182" s="376"/>
      <c r="E182" s="23">
        <v>26302005</v>
      </c>
      <c r="F182" s="80" t="s">
        <v>457</v>
      </c>
      <c r="G182" s="129">
        <v>20000</v>
      </c>
      <c r="H182" s="129">
        <v>0</v>
      </c>
      <c r="I182" s="177"/>
      <c r="J182" s="129">
        <v>0</v>
      </c>
      <c r="K182" s="167" t="str">
        <f t="shared" si="66"/>
        <v/>
      </c>
      <c r="L182" s="168">
        <f t="shared" si="47"/>
        <v>0</v>
      </c>
    </row>
    <row r="183" spans="2:12" s="20" customFormat="1" x14ac:dyDescent="0.2">
      <c r="B183" s="375"/>
      <c r="C183" s="376"/>
      <c r="D183" s="376"/>
      <c r="E183" s="23">
        <v>26303001</v>
      </c>
      <c r="F183" s="80" t="s">
        <v>294</v>
      </c>
      <c r="G183" s="129">
        <v>10000</v>
      </c>
      <c r="H183" s="129">
        <v>10000</v>
      </c>
      <c r="I183" s="177"/>
      <c r="J183" s="129">
        <v>0</v>
      </c>
      <c r="K183" s="167">
        <f t="shared" si="66"/>
        <v>0</v>
      </c>
      <c r="L183" s="168">
        <f t="shared" si="47"/>
        <v>0</v>
      </c>
    </row>
    <row r="184" spans="2:12" s="20" customFormat="1" x14ac:dyDescent="0.2">
      <c r="B184" s="375"/>
      <c r="C184" s="376"/>
      <c r="D184" s="376"/>
      <c r="E184" s="23">
        <v>26303002</v>
      </c>
      <c r="F184" s="80" t="s">
        <v>303</v>
      </c>
      <c r="G184" s="129">
        <v>4000</v>
      </c>
      <c r="H184" s="129">
        <v>4000</v>
      </c>
      <c r="I184" s="177"/>
      <c r="J184" s="129">
        <v>0</v>
      </c>
      <c r="K184" s="167">
        <f t="shared" si="66"/>
        <v>0</v>
      </c>
      <c r="L184" s="168">
        <f t="shared" si="47"/>
        <v>0</v>
      </c>
    </row>
    <row r="185" spans="2:12" s="20" customFormat="1" x14ac:dyDescent="0.2">
      <c r="B185" s="375"/>
      <c r="C185" s="376"/>
      <c r="D185" s="376"/>
      <c r="E185" s="330" t="s">
        <v>336</v>
      </c>
      <c r="F185" s="330"/>
      <c r="G185" s="52">
        <f t="shared" ref="G185" si="68">SUM(G182:G184)</f>
        <v>34000</v>
      </c>
      <c r="H185" s="52">
        <f t="shared" ref="H185:J185" si="69">SUM(H182:H184)</f>
        <v>14000</v>
      </c>
      <c r="I185" s="52">
        <f t="shared" si="69"/>
        <v>0</v>
      </c>
      <c r="J185" s="52">
        <f t="shared" si="69"/>
        <v>0</v>
      </c>
      <c r="K185" s="167">
        <f t="shared" si="66"/>
        <v>0</v>
      </c>
      <c r="L185" s="168">
        <f t="shared" si="47"/>
        <v>0</v>
      </c>
    </row>
    <row r="186" spans="2:12" s="20" customFormat="1" x14ac:dyDescent="0.2">
      <c r="B186" s="361" t="s">
        <v>334</v>
      </c>
      <c r="C186" s="361"/>
      <c r="D186" s="361"/>
      <c r="E186" s="361"/>
      <c r="F186" s="361"/>
      <c r="G186" s="49">
        <f t="shared" ref="G186" si="70">G181+G185</f>
        <v>955600</v>
      </c>
      <c r="H186" s="49">
        <f t="shared" ref="H186:J186" si="71">H181+H185</f>
        <v>922300</v>
      </c>
      <c r="I186" s="49">
        <f t="shared" si="71"/>
        <v>597553.05000000005</v>
      </c>
      <c r="J186" s="49">
        <f t="shared" si="71"/>
        <v>20395.75</v>
      </c>
      <c r="K186" s="167">
        <f t="shared" si="66"/>
        <v>0.64789444866095636</v>
      </c>
      <c r="L186" s="168">
        <f t="shared" si="47"/>
        <v>1.6726935673496809E-2</v>
      </c>
    </row>
    <row r="187" spans="2:12" s="20" customFormat="1" x14ac:dyDescent="0.2">
      <c r="B187" s="374" t="s">
        <v>355</v>
      </c>
      <c r="C187" s="373">
        <v>41</v>
      </c>
      <c r="D187" s="373">
        <v>0</v>
      </c>
      <c r="E187" s="13">
        <v>20103001</v>
      </c>
      <c r="F187" s="40" t="s">
        <v>331</v>
      </c>
      <c r="G187" s="129">
        <v>510000</v>
      </c>
      <c r="H187" s="129">
        <v>474000</v>
      </c>
      <c r="I187" s="177">
        <v>467620.21100000001</v>
      </c>
      <c r="J187" s="129">
        <v>0</v>
      </c>
      <c r="K187" s="167">
        <f t="shared" si="66"/>
        <v>0.98654052953586502</v>
      </c>
      <c r="L187" s="168">
        <f t="shared" si="47"/>
        <v>1.3089805480909192E-2</v>
      </c>
    </row>
    <row r="188" spans="2:12" s="20" customFormat="1" x14ac:dyDescent="0.2">
      <c r="B188" s="374"/>
      <c r="C188" s="373"/>
      <c r="D188" s="373"/>
      <c r="E188" s="23">
        <v>21603003</v>
      </c>
      <c r="F188" s="79" t="s">
        <v>234</v>
      </c>
      <c r="G188" s="129">
        <v>40000</v>
      </c>
      <c r="H188" s="129">
        <v>45000</v>
      </c>
      <c r="I188" s="177">
        <v>5559.61</v>
      </c>
      <c r="J188" s="129">
        <v>35000</v>
      </c>
      <c r="K188" s="167">
        <f t="shared" si="66"/>
        <v>0.12354688888888889</v>
      </c>
      <c r="L188" s="168">
        <f t="shared" si="47"/>
        <v>1.5562674952412944E-4</v>
      </c>
    </row>
    <row r="189" spans="2:12" s="20" customFormat="1" x14ac:dyDescent="0.2">
      <c r="B189" s="374"/>
      <c r="C189" s="373"/>
      <c r="D189" s="373"/>
      <c r="E189" s="23">
        <v>21603004</v>
      </c>
      <c r="F189" s="79" t="s">
        <v>233</v>
      </c>
      <c r="G189" s="129">
        <v>95000</v>
      </c>
      <c r="H189" s="129">
        <v>95000</v>
      </c>
      <c r="I189" s="177">
        <v>3767.9989999999998</v>
      </c>
      <c r="J189" s="129">
        <v>65000</v>
      </c>
      <c r="K189" s="167">
        <f t="shared" si="66"/>
        <v>3.9663147368421053E-2</v>
      </c>
      <c r="L189" s="168">
        <f t="shared" si="47"/>
        <v>1.0547528272309932E-4</v>
      </c>
    </row>
    <row r="190" spans="2:12" s="20" customFormat="1" x14ac:dyDescent="0.2">
      <c r="B190" s="374"/>
      <c r="C190" s="373"/>
      <c r="D190" s="373"/>
      <c r="E190" s="23">
        <v>21603006</v>
      </c>
      <c r="F190" s="79" t="s">
        <v>232</v>
      </c>
      <c r="G190" s="129">
        <v>60000</v>
      </c>
      <c r="H190" s="129">
        <v>55000</v>
      </c>
      <c r="I190" s="177">
        <v>772</v>
      </c>
      <c r="J190" s="129">
        <v>20000</v>
      </c>
      <c r="K190" s="167">
        <f t="shared" si="66"/>
        <v>1.4036363636363637E-2</v>
      </c>
      <c r="L190" s="168">
        <f t="shared" si="47"/>
        <v>2.1610122046803268E-5</v>
      </c>
    </row>
    <row r="191" spans="2:12" s="20" customFormat="1" x14ac:dyDescent="0.2">
      <c r="B191" s="374"/>
      <c r="C191" s="373"/>
      <c r="D191" s="373"/>
      <c r="E191" s="13">
        <v>23603002</v>
      </c>
      <c r="F191" s="40" t="s">
        <v>63</v>
      </c>
      <c r="G191" s="129">
        <v>375</v>
      </c>
      <c r="H191" s="129">
        <v>375</v>
      </c>
      <c r="I191" s="177"/>
      <c r="J191" s="129">
        <v>0</v>
      </c>
      <c r="K191" s="167">
        <f t="shared" si="66"/>
        <v>0</v>
      </c>
      <c r="L191" s="168">
        <f t="shared" si="47"/>
        <v>0</v>
      </c>
    </row>
    <row r="192" spans="2:12" s="20" customFormat="1" x14ac:dyDescent="0.2">
      <c r="B192" s="374"/>
      <c r="C192" s="373"/>
      <c r="D192" s="373"/>
      <c r="E192" s="13">
        <v>23606001</v>
      </c>
      <c r="F192" s="40" t="s">
        <v>356</v>
      </c>
      <c r="G192" s="129">
        <v>60000</v>
      </c>
      <c r="H192" s="129">
        <v>60000</v>
      </c>
      <c r="I192" s="177">
        <v>29543.544000000002</v>
      </c>
      <c r="J192" s="129">
        <v>0</v>
      </c>
      <c r="K192" s="167">
        <f t="shared" si="66"/>
        <v>0.49239240000000001</v>
      </c>
      <c r="L192" s="168">
        <f t="shared" si="47"/>
        <v>8.2699428955324158E-4</v>
      </c>
    </row>
    <row r="193" spans="2:12" s="20" customFormat="1" x14ac:dyDescent="0.2">
      <c r="B193" s="374"/>
      <c r="C193" s="373"/>
      <c r="D193" s="373"/>
      <c r="E193" s="13">
        <v>23606008</v>
      </c>
      <c r="F193" s="40" t="s">
        <v>68</v>
      </c>
      <c r="G193" s="129">
        <v>20000</v>
      </c>
      <c r="H193" s="129">
        <v>20000</v>
      </c>
      <c r="I193" s="177">
        <v>15000</v>
      </c>
      <c r="J193" s="129">
        <v>0</v>
      </c>
      <c r="K193" s="167">
        <f t="shared" si="66"/>
        <v>0.75</v>
      </c>
      <c r="L193" s="168">
        <f t="shared" si="47"/>
        <v>4.1988579106483039E-4</v>
      </c>
    </row>
    <row r="194" spans="2:12" s="20" customFormat="1" x14ac:dyDescent="0.2">
      <c r="B194" s="374"/>
      <c r="C194" s="373"/>
      <c r="D194" s="373"/>
      <c r="E194" s="364" t="s">
        <v>333</v>
      </c>
      <c r="F194" s="364"/>
      <c r="G194" s="62">
        <f t="shared" ref="G194:J194" si="72">SUM(G187:G193)</f>
        <v>785375</v>
      </c>
      <c r="H194" s="62">
        <f t="shared" si="72"/>
        <v>749375</v>
      </c>
      <c r="I194" s="62">
        <f t="shared" si="72"/>
        <v>522263.364</v>
      </c>
      <c r="J194" s="62">
        <f t="shared" si="72"/>
        <v>120000</v>
      </c>
      <c r="K194" s="167">
        <f t="shared" si="66"/>
        <v>0.69693192860717268</v>
      </c>
      <c r="L194" s="168">
        <f t="shared" si="47"/>
        <v>1.4619397715821297E-2</v>
      </c>
    </row>
    <row r="195" spans="2:12" s="20" customFormat="1" x14ac:dyDescent="0.2">
      <c r="B195" s="374"/>
      <c r="C195" s="373"/>
      <c r="D195" s="373"/>
      <c r="E195" s="13">
        <v>26201041</v>
      </c>
      <c r="F195" s="40" t="s">
        <v>395</v>
      </c>
      <c r="G195" s="129">
        <v>35000</v>
      </c>
      <c r="H195" s="129">
        <v>35000</v>
      </c>
      <c r="I195" s="177">
        <v>35000</v>
      </c>
      <c r="J195" s="129">
        <v>0</v>
      </c>
      <c r="K195" s="167">
        <f t="shared" si="66"/>
        <v>1</v>
      </c>
      <c r="L195" s="168">
        <f t="shared" si="47"/>
        <v>9.7973351248460423E-4</v>
      </c>
    </row>
    <row r="196" spans="2:12" s="20" customFormat="1" x14ac:dyDescent="0.2">
      <c r="B196" s="374"/>
      <c r="C196" s="373"/>
      <c r="D196" s="373"/>
      <c r="E196" s="13">
        <v>26201049</v>
      </c>
      <c r="F196" s="40" t="s">
        <v>357</v>
      </c>
      <c r="G196" s="129">
        <v>40000</v>
      </c>
      <c r="H196" s="129">
        <v>40000</v>
      </c>
      <c r="I196" s="177">
        <v>2018.4</v>
      </c>
      <c r="J196" s="129">
        <v>1981.6</v>
      </c>
      <c r="K196" s="167">
        <f t="shared" si="66"/>
        <v>5.0460000000000005E-2</v>
      </c>
      <c r="L196" s="168">
        <f t="shared" ref="L196:L259" si="73">IFERROR(I196/$H$438,"")</f>
        <v>5.6499832045683575E-5</v>
      </c>
    </row>
    <row r="197" spans="2:12" s="20" customFormat="1" x14ac:dyDescent="0.2">
      <c r="B197" s="374"/>
      <c r="C197" s="373"/>
      <c r="D197" s="373"/>
      <c r="E197" s="13">
        <v>26201050</v>
      </c>
      <c r="F197" s="40" t="s">
        <v>1</v>
      </c>
      <c r="G197" s="129">
        <v>70000</v>
      </c>
      <c r="H197" s="129">
        <v>69000</v>
      </c>
      <c r="I197" s="177">
        <v>50</v>
      </c>
      <c r="J197" s="129">
        <v>30000</v>
      </c>
      <c r="K197" s="167">
        <f t="shared" si="66"/>
        <v>7.246376811594203E-4</v>
      </c>
      <c r="L197" s="168">
        <f t="shared" si="73"/>
        <v>1.3996193035494346E-6</v>
      </c>
    </row>
    <row r="198" spans="2:12" s="20" customFormat="1" x14ac:dyDescent="0.2">
      <c r="B198" s="374"/>
      <c r="C198" s="373"/>
      <c r="D198" s="373"/>
      <c r="E198" s="23">
        <v>26201002</v>
      </c>
      <c r="F198" s="80" t="s">
        <v>3</v>
      </c>
      <c r="G198" s="129">
        <v>140000</v>
      </c>
      <c r="H198" s="129">
        <v>121000</v>
      </c>
      <c r="I198" s="177">
        <v>4621.2</v>
      </c>
      <c r="J198" s="129">
        <v>47978.8</v>
      </c>
      <c r="K198" s="167">
        <f t="shared" si="66"/>
        <v>3.8191735537190082E-2</v>
      </c>
      <c r="L198" s="168">
        <f t="shared" si="73"/>
        <v>1.2935841451125292E-4</v>
      </c>
    </row>
    <row r="199" spans="2:12" s="20" customFormat="1" x14ac:dyDescent="0.2">
      <c r="B199" s="374"/>
      <c r="C199" s="373"/>
      <c r="D199" s="373"/>
      <c r="E199" s="23">
        <v>26202003</v>
      </c>
      <c r="F199" s="80" t="s">
        <v>483</v>
      </c>
      <c r="G199" s="129">
        <v>40000</v>
      </c>
      <c r="H199" s="129">
        <v>40000</v>
      </c>
      <c r="I199" s="177">
        <v>1300</v>
      </c>
      <c r="J199" s="129">
        <v>1700</v>
      </c>
      <c r="K199" s="167">
        <f t="shared" si="66"/>
        <v>3.2500000000000001E-2</v>
      </c>
      <c r="L199" s="168">
        <f t="shared" si="73"/>
        <v>3.6390101892285301E-5</v>
      </c>
    </row>
    <row r="200" spans="2:12" s="20" customFormat="1" x14ac:dyDescent="0.2">
      <c r="B200" s="374"/>
      <c r="C200" s="373"/>
      <c r="D200" s="373"/>
      <c r="E200" s="23">
        <v>26301007</v>
      </c>
      <c r="F200" s="80" t="s">
        <v>502</v>
      </c>
      <c r="G200" s="129">
        <v>5000</v>
      </c>
      <c r="H200" s="129">
        <v>5000</v>
      </c>
      <c r="I200" s="177">
        <v>2499.8000000000002</v>
      </c>
      <c r="J200" s="129">
        <v>0</v>
      </c>
      <c r="K200" s="167">
        <f t="shared" si="66"/>
        <v>0.49996000000000002</v>
      </c>
      <c r="L200" s="168">
        <f t="shared" si="73"/>
        <v>6.9975366700257541E-5</v>
      </c>
    </row>
    <row r="201" spans="2:12" s="20" customFormat="1" x14ac:dyDescent="0.2">
      <c r="B201" s="374"/>
      <c r="C201" s="373"/>
      <c r="D201" s="373"/>
      <c r="E201" s="330" t="s">
        <v>336</v>
      </c>
      <c r="F201" s="330"/>
      <c r="G201" s="52">
        <f>SUM(G195:G200)</f>
        <v>330000</v>
      </c>
      <c r="H201" s="52">
        <f>SUM(H195:H200)</f>
        <v>310000</v>
      </c>
      <c r="I201" s="52">
        <f>SUM(I195:I200)</f>
        <v>45489.4</v>
      </c>
      <c r="J201" s="52">
        <f>SUM(J195:J200)</f>
        <v>81660.399999999994</v>
      </c>
      <c r="K201" s="167">
        <f t="shared" si="66"/>
        <v>0.14674000000000001</v>
      </c>
      <c r="L201" s="168">
        <f t="shared" si="73"/>
        <v>1.2733568469376331E-3</v>
      </c>
    </row>
    <row r="202" spans="2:12" s="20" customFormat="1" x14ac:dyDescent="0.2">
      <c r="B202" s="361" t="s">
        <v>334</v>
      </c>
      <c r="C202" s="361"/>
      <c r="D202" s="361"/>
      <c r="E202" s="361"/>
      <c r="F202" s="361"/>
      <c r="G202" s="49">
        <f>G194+G201</f>
        <v>1115375</v>
      </c>
      <c r="H202" s="49">
        <f>H194+H201</f>
        <v>1059375</v>
      </c>
      <c r="I202" s="49">
        <f>I194+I201</f>
        <v>567752.76399999997</v>
      </c>
      <c r="J202" s="49">
        <f>J194+J201</f>
        <v>201660.4</v>
      </c>
      <c r="K202" s="167">
        <f t="shared" si="66"/>
        <v>0.53593181262536871</v>
      </c>
      <c r="L202" s="168">
        <f t="shared" si="73"/>
        <v>1.5892754562758928E-2</v>
      </c>
    </row>
    <row r="203" spans="2:12" s="20" customFormat="1" x14ac:dyDescent="0.2">
      <c r="B203" s="374" t="s">
        <v>358</v>
      </c>
      <c r="C203" s="373">
        <v>42</v>
      </c>
      <c r="D203" s="373">
        <v>0</v>
      </c>
      <c r="E203" s="13">
        <v>20101001</v>
      </c>
      <c r="F203" s="40" t="s">
        <v>15</v>
      </c>
      <c r="G203" s="129">
        <v>410000</v>
      </c>
      <c r="H203" s="129">
        <v>392000</v>
      </c>
      <c r="I203" s="177">
        <v>370893.26299999998</v>
      </c>
      <c r="J203" s="129">
        <v>0</v>
      </c>
      <c r="K203" s="167">
        <f t="shared" si="66"/>
        <v>0.94615628316326528</v>
      </c>
      <c r="L203" s="168">
        <f t="shared" si="73"/>
        <v>1.0382187409024744E-2</v>
      </c>
    </row>
    <row r="204" spans="2:12" s="20" customFormat="1" x14ac:dyDescent="0.2">
      <c r="B204" s="374"/>
      <c r="C204" s="373"/>
      <c r="D204" s="373"/>
      <c r="E204" s="13">
        <v>20103001</v>
      </c>
      <c r="F204" s="40" t="s">
        <v>331</v>
      </c>
      <c r="G204" s="129">
        <v>80000</v>
      </c>
      <c r="H204" s="129">
        <v>66000</v>
      </c>
      <c r="I204" s="177">
        <v>52953.37</v>
      </c>
      <c r="J204" s="129">
        <v>0</v>
      </c>
      <c r="K204" s="167">
        <f t="shared" si="66"/>
        <v>0.80232378787878789</v>
      </c>
      <c r="L204" s="168">
        <f t="shared" si="73"/>
        <v>1.4822911767999106E-3</v>
      </c>
    </row>
    <row r="205" spans="2:12" s="20" customFormat="1" x14ac:dyDescent="0.2">
      <c r="B205" s="374"/>
      <c r="C205" s="373"/>
      <c r="D205" s="373"/>
      <c r="E205" s="13">
        <v>22601001</v>
      </c>
      <c r="F205" s="40" t="s">
        <v>243</v>
      </c>
      <c r="G205" s="129">
        <v>1000</v>
      </c>
      <c r="H205" s="129">
        <v>1000</v>
      </c>
      <c r="I205" s="177"/>
      <c r="J205" s="129">
        <v>0</v>
      </c>
      <c r="K205" s="167">
        <f t="shared" si="66"/>
        <v>0</v>
      </c>
      <c r="L205" s="168">
        <f t="shared" si="73"/>
        <v>0</v>
      </c>
    </row>
    <row r="206" spans="2:12" s="20" customFormat="1" x14ac:dyDescent="0.2">
      <c r="B206" s="374"/>
      <c r="C206" s="373"/>
      <c r="D206" s="373"/>
      <c r="E206" s="13">
        <v>23603002</v>
      </c>
      <c r="F206" s="40" t="s">
        <v>63</v>
      </c>
      <c r="G206" s="129">
        <v>75</v>
      </c>
      <c r="H206" s="129">
        <v>75</v>
      </c>
      <c r="I206" s="177">
        <v>72.069999999999993</v>
      </c>
      <c r="J206" s="129">
        <v>0</v>
      </c>
      <c r="K206" s="167">
        <f t="shared" si="66"/>
        <v>0.9609333333333332</v>
      </c>
      <c r="L206" s="168">
        <f t="shared" si="73"/>
        <v>2.0174112641361548E-6</v>
      </c>
    </row>
    <row r="207" spans="2:12" s="20" customFormat="1" x14ac:dyDescent="0.2">
      <c r="B207" s="374"/>
      <c r="C207" s="373"/>
      <c r="D207" s="373"/>
      <c r="E207" s="364" t="s">
        <v>333</v>
      </c>
      <c r="F207" s="364"/>
      <c r="G207" s="62">
        <f t="shared" ref="G207:J207" si="74">SUM(G203:G206)</f>
        <v>491075</v>
      </c>
      <c r="H207" s="62">
        <f t="shared" si="74"/>
        <v>459075</v>
      </c>
      <c r="I207" s="62">
        <f t="shared" si="74"/>
        <v>423918.70299999998</v>
      </c>
      <c r="J207" s="62">
        <f t="shared" si="74"/>
        <v>0</v>
      </c>
      <c r="K207" s="167">
        <f t="shared" si="66"/>
        <v>0.92341927353918196</v>
      </c>
      <c r="L207" s="168">
        <f t="shared" si="73"/>
        <v>1.1866495997088791E-2</v>
      </c>
    </row>
    <row r="208" spans="2:12" s="20" customFormat="1" x14ac:dyDescent="0.2">
      <c r="B208" s="374"/>
      <c r="C208" s="373"/>
      <c r="D208" s="373"/>
      <c r="E208" s="23">
        <v>25603001</v>
      </c>
      <c r="F208" s="79" t="s">
        <v>456</v>
      </c>
      <c r="G208" s="129">
        <v>2000</v>
      </c>
      <c r="H208" s="129">
        <v>2000</v>
      </c>
      <c r="I208" s="177"/>
      <c r="J208" s="129">
        <v>0</v>
      </c>
      <c r="K208" s="167">
        <f t="shared" ref="K208:K271" si="75">IFERROR(I208/H208,"")</f>
        <v>0</v>
      </c>
      <c r="L208" s="168">
        <f t="shared" si="73"/>
        <v>0</v>
      </c>
    </row>
    <row r="209" spans="2:12" s="20" customFormat="1" x14ac:dyDescent="0.2">
      <c r="B209" s="374"/>
      <c r="C209" s="373"/>
      <c r="D209" s="373"/>
      <c r="E209" s="319" t="s">
        <v>335</v>
      </c>
      <c r="F209" s="319"/>
      <c r="G209" s="57">
        <f>SUM(G208:G208)</f>
        <v>2000</v>
      </c>
      <c r="H209" s="57">
        <f>SUM(H208:H208)</f>
        <v>2000</v>
      </c>
      <c r="I209" s="57">
        <f>SUM(I208:I208)</f>
        <v>0</v>
      </c>
      <c r="J209" s="57">
        <f>SUM(J208:J208)</f>
        <v>0</v>
      </c>
      <c r="K209" s="167">
        <f t="shared" si="75"/>
        <v>0</v>
      </c>
      <c r="L209" s="168">
        <f t="shared" si="73"/>
        <v>0</v>
      </c>
    </row>
    <row r="210" spans="2:12" s="20" customFormat="1" x14ac:dyDescent="0.2">
      <c r="B210" s="361" t="s">
        <v>334</v>
      </c>
      <c r="C210" s="361"/>
      <c r="D210" s="361"/>
      <c r="E210" s="361"/>
      <c r="F210" s="361"/>
      <c r="G210" s="49">
        <f>G207+G209</f>
        <v>493075</v>
      </c>
      <c r="H210" s="49">
        <f>H207+H209</f>
        <v>461075</v>
      </c>
      <c r="I210" s="49">
        <f>I207+I209</f>
        <v>423918.70299999998</v>
      </c>
      <c r="J210" s="49">
        <f>J207+J209</f>
        <v>0</v>
      </c>
      <c r="K210" s="167">
        <f t="shared" si="75"/>
        <v>0.91941376782519113</v>
      </c>
      <c r="L210" s="168">
        <f t="shared" si="73"/>
        <v>1.1866495997088791E-2</v>
      </c>
    </row>
    <row r="211" spans="2:12" s="20" customFormat="1" x14ac:dyDescent="0.2">
      <c r="B211" s="377" t="s">
        <v>399</v>
      </c>
      <c r="C211" s="379">
        <v>58</v>
      </c>
      <c r="D211" s="379">
        <v>0</v>
      </c>
      <c r="E211" s="13">
        <v>20103001</v>
      </c>
      <c r="F211" s="40" t="s">
        <v>331</v>
      </c>
      <c r="G211" s="129">
        <v>65000</v>
      </c>
      <c r="H211" s="129">
        <v>65000</v>
      </c>
      <c r="I211" s="177">
        <v>59065.052000000003</v>
      </c>
      <c r="J211" s="129">
        <v>0</v>
      </c>
      <c r="K211" s="167">
        <f t="shared" si="75"/>
        <v>0.90869310769230771</v>
      </c>
      <c r="L211" s="168">
        <f t="shared" si="73"/>
        <v>1.6533717388870228E-3</v>
      </c>
    </row>
    <row r="212" spans="2:12" s="20" customFormat="1" x14ac:dyDescent="0.2">
      <c r="B212" s="378"/>
      <c r="C212" s="380"/>
      <c r="D212" s="380"/>
      <c r="E212" s="95">
        <v>22601002</v>
      </c>
      <c r="F212" s="80" t="s">
        <v>480</v>
      </c>
      <c r="G212" s="129">
        <v>5000</v>
      </c>
      <c r="H212" s="129">
        <v>5000</v>
      </c>
      <c r="I212" s="177"/>
      <c r="J212" s="129">
        <v>0</v>
      </c>
      <c r="K212" s="167">
        <f t="shared" si="75"/>
        <v>0</v>
      </c>
      <c r="L212" s="168">
        <f t="shared" si="73"/>
        <v>0</v>
      </c>
    </row>
    <row r="213" spans="2:12" s="20" customFormat="1" x14ac:dyDescent="0.2">
      <c r="B213" s="378"/>
      <c r="C213" s="380"/>
      <c r="D213" s="380"/>
      <c r="E213" s="13">
        <v>23603002</v>
      </c>
      <c r="F213" s="40" t="s">
        <v>63</v>
      </c>
      <c r="G213" s="129">
        <v>75</v>
      </c>
      <c r="H213" s="129">
        <v>75</v>
      </c>
      <c r="I213" s="177">
        <v>75</v>
      </c>
      <c r="J213" s="129">
        <v>0</v>
      </c>
      <c r="K213" s="167">
        <f t="shared" si="75"/>
        <v>1</v>
      </c>
      <c r="L213" s="168">
        <f t="shared" si="73"/>
        <v>2.0994289553241517E-6</v>
      </c>
    </row>
    <row r="214" spans="2:12" s="20" customFormat="1" x14ac:dyDescent="0.2">
      <c r="B214" s="382"/>
      <c r="C214" s="381"/>
      <c r="D214" s="381"/>
      <c r="E214" s="424" t="s">
        <v>333</v>
      </c>
      <c r="F214" s="425"/>
      <c r="G214" s="62">
        <f>SUM(G211:G213)</f>
        <v>70075</v>
      </c>
      <c r="H214" s="62">
        <f t="shared" ref="H214:J214" si="76">SUM(H211:H213)</f>
        <v>70075</v>
      </c>
      <c r="I214" s="62">
        <f t="shared" si="76"/>
        <v>59140.052000000003</v>
      </c>
      <c r="J214" s="62">
        <f t="shared" si="76"/>
        <v>0</v>
      </c>
      <c r="K214" s="167">
        <f t="shared" si="75"/>
        <v>0.84395364966107744</v>
      </c>
      <c r="L214" s="168">
        <f t="shared" si="73"/>
        <v>1.6554711678423469E-3</v>
      </c>
    </row>
    <row r="215" spans="2:12" s="20" customFormat="1" x14ac:dyDescent="0.2">
      <c r="B215" s="361" t="s">
        <v>334</v>
      </c>
      <c r="C215" s="361"/>
      <c r="D215" s="361"/>
      <c r="E215" s="361"/>
      <c r="F215" s="361"/>
      <c r="G215" s="49">
        <f t="shared" ref="G215" si="77">G214</f>
        <v>70075</v>
      </c>
      <c r="H215" s="49">
        <f t="shared" ref="H215:J215" si="78">H214</f>
        <v>70075</v>
      </c>
      <c r="I215" s="49">
        <f t="shared" si="78"/>
        <v>59140.052000000003</v>
      </c>
      <c r="J215" s="49">
        <f t="shared" si="78"/>
        <v>0</v>
      </c>
      <c r="K215" s="167">
        <f t="shared" si="75"/>
        <v>0.84395364966107744</v>
      </c>
      <c r="L215" s="168">
        <f t="shared" si="73"/>
        <v>1.6554711678423469E-3</v>
      </c>
    </row>
    <row r="216" spans="2:12" s="20" customFormat="1" x14ac:dyDescent="0.2">
      <c r="B216" s="377" t="s">
        <v>359</v>
      </c>
      <c r="C216" s="379">
        <v>43</v>
      </c>
      <c r="D216" s="379">
        <v>0</v>
      </c>
      <c r="E216" s="13">
        <v>20103001</v>
      </c>
      <c r="F216" s="40" t="s">
        <v>331</v>
      </c>
      <c r="G216" s="129">
        <v>36000</v>
      </c>
      <c r="H216" s="129">
        <v>85000</v>
      </c>
      <c r="I216" s="177">
        <v>84658.744000000006</v>
      </c>
      <c r="J216" s="129">
        <v>0</v>
      </c>
      <c r="K216" s="167">
        <f t="shared" si="75"/>
        <v>0.99598522352941188</v>
      </c>
      <c r="L216" s="168">
        <f t="shared" si="73"/>
        <v>2.3698002463329974E-3</v>
      </c>
    </row>
    <row r="217" spans="2:12" s="20" customFormat="1" x14ac:dyDescent="0.2">
      <c r="B217" s="378"/>
      <c r="C217" s="380"/>
      <c r="D217" s="380"/>
      <c r="E217" s="13">
        <v>23603002</v>
      </c>
      <c r="F217" s="40" t="s">
        <v>63</v>
      </c>
      <c r="G217" s="129">
        <v>175</v>
      </c>
      <c r="H217" s="129">
        <v>175</v>
      </c>
      <c r="I217" s="177"/>
      <c r="J217" s="129">
        <v>0</v>
      </c>
      <c r="K217" s="167">
        <f t="shared" si="75"/>
        <v>0</v>
      </c>
      <c r="L217" s="168">
        <f t="shared" si="73"/>
        <v>0</v>
      </c>
    </row>
    <row r="218" spans="2:12" s="20" customFormat="1" x14ac:dyDescent="0.2">
      <c r="B218" s="378"/>
      <c r="C218" s="380"/>
      <c r="D218" s="380"/>
      <c r="E218" s="364" t="s">
        <v>333</v>
      </c>
      <c r="F218" s="364"/>
      <c r="G218" s="62">
        <f t="shared" ref="G218" si="79">SUM(G216:G217)</f>
        <v>36175</v>
      </c>
      <c r="H218" s="62">
        <f t="shared" ref="H218:J218" si="80">SUM(H216:H217)</f>
        <v>85175</v>
      </c>
      <c r="I218" s="62">
        <f t="shared" si="80"/>
        <v>84658.744000000006</v>
      </c>
      <c r="J218" s="62">
        <f t="shared" si="80"/>
        <v>0</v>
      </c>
      <c r="K218" s="167">
        <f t="shared" si="75"/>
        <v>0.99393887877898457</v>
      </c>
      <c r="L218" s="168">
        <f t="shared" si="73"/>
        <v>2.3698002463329974E-3</v>
      </c>
    </row>
    <row r="219" spans="2:12" s="20" customFormat="1" x14ac:dyDescent="0.2">
      <c r="B219" s="361" t="s">
        <v>334</v>
      </c>
      <c r="C219" s="361"/>
      <c r="D219" s="361"/>
      <c r="E219" s="361"/>
      <c r="F219" s="361"/>
      <c r="G219" s="49">
        <f t="shared" ref="G219" si="81">G218</f>
        <v>36175</v>
      </c>
      <c r="H219" s="49">
        <f t="shared" ref="H219:J219" si="82">H218</f>
        <v>85175</v>
      </c>
      <c r="I219" s="49">
        <f t="shared" si="82"/>
        <v>84658.744000000006</v>
      </c>
      <c r="J219" s="49">
        <f t="shared" si="82"/>
        <v>0</v>
      </c>
      <c r="K219" s="167">
        <f t="shared" si="75"/>
        <v>0.99393887877898457</v>
      </c>
      <c r="L219" s="168">
        <f t="shared" si="73"/>
        <v>2.3698002463329974E-3</v>
      </c>
    </row>
    <row r="220" spans="2:12" s="20" customFormat="1" x14ac:dyDescent="0.2">
      <c r="B220" s="377" t="s">
        <v>451</v>
      </c>
      <c r="C220" s="379">
        <v>45</v>
      </c>
      <c r="D220" s="379">
        <v>0</v>
      </c>
      <c r="E220" s="13">
        <v>23603002</v>
      </c>
      <c r="F220" s="40" t="s">
        <v>63</v>
      </c>
      <c r="G220" s="129">
        <v>75</v>
      </c>
      <c r="H220" s="129">
        <v>75</v>
      </c>
      <c r="I220" s="177"/>
      <c r="J220" s="129">
        <v>0</v>
      </c>
      <c r="K220" s="167">
        <f t="shared" si="75"/>
        <v>0</v>
      </c>
      <c r="L220" s="168">
        <f t="shared" si="73"/>
        <v>0</v>
      </c>
    </row>
    <row r="221" spans="2:12" s="20" customFormat="1" x14ac:dyDescent="0.2">
      <c r="B221" s="378"/>
      <c r="C221" s="380"/>
      <c r="D221" s="380"/>
      <c r="E221" s="364" t="s">
        <v>333</v>
      </c>
      <c r="F221" s="364"/>
      <c r="G221" s="62">
        <f t="shared" ref="G221" si="83">SUM(G220:G220)</f>
        <v>75</v>
      </c>
      <c r="H221" s="62">
        <f t="shared" ref="H221:J221" si="84">SUM(H220:H220)</f>
        <v>75</v>
      </c>
      <c r="I221" s="62">
        <f t="shared" si="84"/>
        <v>0</v>
      </c>
      <c r="J221" s="62">
        <f t="shared" si="84"/>
        <v>0</v>
      </c>
      <c r="K221" s="167">
        <f t="shared" si="75"/>
        <v>0</v>
      </c>
      <c r="L221" s="168">
        <f t="shared" si="73"/>
        <v>0</v>
      </c>
    </row>
    <row r="222" spans="2:12" s="20" customFormat="1" x14ac:dyDescent="0.2">
      <c r="B222" s="361" t="s">
        <v>334</v>
      </c>
      <c r="C222" s="361"/>
      <c r="D222" s="361"/>
      <c r="E222" s="361"/>
      <c r="F222" s="361"/>
      <c r="G222" s="49">
        <f>SUM(G221,)</f>
        <v>75</v>
      </c>
      <c r="H222" s="49">
        <f t="shared" ref="H222:J222" si="85">SUM(H221,)</f>
        <v>75</v>
      </c>
      <c r="I222" s="49">
        <f t="shared" si="85"/>
        <v>0</v>
      </c>
      <c r="J222" s="49">
        <f t="shared" si="85"/>
        <v>0</v>
      </c>
      <c r="K222" s="167">
        <f t="shared" si="75"/>
        <v>0</v>
      </c>
      <c r="L222" s="168">
        <f t="shared" si="73"/>
        <v>0</v>
      </c>
    </row>
    <row r="223" spans="2:12" s="20" customFormat="1" x14ac:dyDescent="0.2">
      <c r="B223" s="377" t="s">
        <v>438</v>
      </c>
      <c r="C223" s="379">
        <v>44</v>
      </c>
      <c r="D223" s="379">
        <v>0</v>
      </c>
      <c r="E223" s="13">
        <v>20103001</v>
      </c>
      <c r="F223" s="40" t="s">
        <v>331</v>
      </c>
      <c r="G223" s="129">
        <v>17000</v>
      </c>
      <c r="H223" s="129">
        <v>19000</v>
      </c>
      <c r="I223" s="177">
        <v>18119.623</v>
      </c>
      <c r="J223" s="129">
        <v>0</v>
      </c>
      <c r="K223" s="167">
        <f t="shared" si="75"/>
        <v>0.95366436842105262</v>
      </c>
      <c r="L223" s="168">
        <f t="shared" si="73"/>
        <v>5.0721148247676625E-4</v>
      </c>
    </row>
    <row r="224" spans="2:12" s="20" customFormat="1" x14ac:dyDescent="0.2">
      <c r="B224" s="378"/>
      <c r="C224" s="380"/>
      <c r="D224" s="380"/>
      <c r="E224" s="13">
        <v>23603002</v>
      </c>
      <c r="F224" s="40" t="s">
        <v>63</v>
      </c>
      <c r="G224" s="129">
        <v>75</v>
      </c>
      <c r="H224" s="129">
        <v>75</v>
      </c>
      <c r="I224" s="177"/>
      <c r="J224" s="129">
        <v>0</v>
      </c>
      <c r="K224" s="167">
        <f t="shared" si="75"/>
        <v>0</v>
      </c>
      <c r="L224" s="168">
        <f t="shared" si="73"/>
        <v>0</v>
      </c>
    </row>
    <row r="225" spans="2:12" s="20" customFormat="1" x14ac:dyDescent="0.2">
      <c r="B225" s="382"/>
      <c r="C225" s="380"/>
      <c r="D225" s="380"/>
      <c r="E225" s="364" t="s">
        <v>333</v>
      </c>
      <c r="F225" s="364"/>
      <c r="G225" s="62">
        <f>SUM(G223:G224)</f>
        <v>17075</v>
      </c>
      <c r="H225" s="62">
        <f t="shared" ref="H225:J225" si="86">SUM(H223:H224)</f>
        <v>19075</v>
      </c>
      <c r="I225" s="62">
        <f t="shared" si="86"/>
        <v>18119.623</v>
      </c>
      <c r="J225" s="62">
        <f t="shared" si="86"/>
        <v>0</v>
      </c>
      <c r="K225" s="167">
        <f t="shared" si="75"/>
        <v>0.9499147051114023</v>
      </c>
      <c r="L225" s="168">
        <f t="shared" si="73"/>
        <v>5.0721148247676625E-4</v>
      </c>
    </row>
    <row r="226" spans="2:12" s="20" customFormat="1" x14ac:dyDescent="0.2">
      <c r="B226" s="361" t="s">
        <v>334</v>
      </c>
      <c r="C226" s="361"/>
      <c r="D226" s="361"/>
      <c r="E226" s="361"/>
      <c r="F226" s="361"/>
      <c r="G226" s="49">
        <f>SUM(G225)</f>
        <v>17075</v>
      </c>
      <c r="H226" s="49">
        <f t="shared" ref="H226:J226" si="87">SUM(H225)</f>
        <v>19075</v>
      </c>
      <c r="I226" s="49">
        <f t="shared" si="87"/>
        <v>18119.623</v>
      </c>
      <c r="J226" s="49">
        <f t="shared" si="87"/>
        <v>0</v>
      </c>
      <c r="K226" s="167">
        <f t="shared" si="75"/>
        <v>0.9499147051114023</v>
      </c>
      <c r="L226" s="168">
        <f t="shared" si="73"/>
        <v>5.0721148247676625E-4</v>
      </c>
    </row>
    <row r="227" spans="2:12" s="20" customFormat="1" x14ac:dyDescent="0.2">
      <c r="B227" s="377" t="s">
        <v>360</v>
      </c>
      <c r="C227" s="379">
        <v>46</v>
      </c>
      <c r="D227" s="379">
        <v>0</v>
      </c>
      <c r="E227" s="13">
        <v>23603002</v>
      </c>
      <c r="F227" s="40" t="s">
        <v>63</v>
      </c>
      <c r="G227" s="129">
        <v>75</v>
      </c>
      <c r="H227" s="129">
        <v>75</v>
      </c>
      <c r="I227" s="177"/>
      <c r="J227" s="129">
        <v>0</v>
      </c>
      <c r="K227" s="167">
        <f t="shared" si="75"/>
        <v>0</v>
      </c>
      <c r="L227" s="168">
        <f t="shared" si="73"/>
        <v>0</v>
      </c>
    </row>
    <row r="228" spans="2:12" s="20" customFormat="1" x14ac:dyDescent="0.2">
      <c r="B228" s="378"/>
      <c r="C228" s="380"/>
      <c r="D228" s="380"/>
      <c r="E228" s="364" t="s">
        <v>333</v>
      </c>
      <c r="F228" s="364"/>
      <c r="G228" s="62">
        <f t="shared" ref="G228" si="88">SUM(G227:G227)</f>
        <v>75</v>
      </c>
      <c r="H228" s="62">
        <f t="shared" ref="H228:J228" si="89">SUM(H227:H227)</f>
        <v>75</v>
      </c>
      <c r="I228" s="62">
        <f t="shared" si="89"/>
        <v>0</v>
      </c>
      <c r="J228" s="62">
        <f t="shared" si="89"/>
        <v>0</v>
      </c>
      <c r="K228" s="167">
        <f t="shared" si="75"/>
        <v>0</v>
      </c>
      <c r="L228" s="168">
        <f t="shared" si="73"/>
        <v>0</v>
      </c>
    </row>
    <row r="229" spans="2:12" s="20" customFormat="1" x14ac:dyDescent="0.2">
      <c r="B229" s="361" t="s">
        <v>334</v>
      </c>
      <c r="C229" s="361"/>
      <c r="D229" s="361"/>
      <c r="E229" s="361"/>
      <c r="F229" s="361"/>
      <c r="G229" s="49">
        <f t="shared" ref="G229" si="90">G228</f>
        <v>75</v>
      </c>
      <c r="H229" s="49">
        <f t="shared" ref="H229:J229" si="91">H228</f>
        <v>75</v>
      </c>
      <c r="I229" s="49">
        <f t="shared" si="91"/>
        <v>0</v>
      </c>
      <c r="J229" s="49">
        <f t="shared" si="91"/>
        <v>0</v>
      </c>
      <c r="K229" s="167">
        <f t="shared" si="75"/>
        <v>0</v>
      </c>
      <c r="L229" s="168">
        <f t="shared" si="73"/>
        <v>0</v>
      </c>
    </row>
    <row r="230" spans="2:12" s="20" customFormat="1" x14ac:dyDescent="0.2">
      <c r="B230" s="377" t="s">
        <v>396</v>
      </c>
      <c r="C230" s="379">
        <v>47</v>
      </c>
      <c r="D230" s="379">
        <v>0</v>
      </c>
      <c r="E230" s="13">
        <v>20103001</v>
      </c>
      <c r="F230" s="40" t="s">
        <v>331</v>
      </c>
      <c r="G230" s="129">
        <v>150000</v>
      </c>
      <c r="H230" s="129">
        <v>155500</v>
      </c>
      <c r="I230" s="177">
        <v>151790.948</v>
      </c>
      <c r="J230" s="129">
        <v>0</v>
      </c>
      <c r="K230" s="167">
        <f t="shared" si="75"/>
        <v>0.97614757556270104</v>
      </c>
      <c r="L230" s="168">
        <f t="shared" si="73"/>
        <v>4.2489908184973691E-3</v>
      </c>
    </row>
    <row r="231" spans="2:12" s="20" customFormat="1" x14ac:dyDescent="0.2">
      <c r="B231" s="378"/>
      <c r="C231" s="380"/>
      <c r="D231" s="380"/>
      <c r="E231" s="13">
        <v>23603002</v>
      </c>
      <c r="F231" s="40" t="s">
        <v>63</v>
      </c>
      <c r="G231" s="129">
        <v>75</v>
      </c>
      <c r="H231" s="129">
        <v>75</v>
      </c>
      <c r="I231" s="177">
        <v>75</v>
      </c>
      <c r="J231" s="129">
        <v>0</v>
      </c>
      <c r="K231" s="167">
        <f t="shared" si="75"/>
        <v>1</v>
      </c>
      <c r="L231" s="168">
        <f t="shared" si="73"/>
        <v>2.0994289553241517E-6</v>
      </c>
    </row>
    <row r="232" spans="2:12" s="20" customFormat="1" x14ac:dyDescent="0.2">
      <c r="B232" s="378"/>
      <c r="C232" s="380"/>
      <c r="D232" s="380"/>
      <c r="E232" s="364" t="s">
        <v>333</v>
      </c>
      <c r="F232" s="364"/>
      <c r="G232" s="62">
        <f t="shared" ref="G232:J232" si="92">SUM(G230:G231)</f>
        <v>150075</v>
      </c>
      <c r="H232" s="62">
        <f t="shared" si="92"/>
        <v>155575</v>
      </c>
      <c r="I232" s="62">
        <f t="shared" si="92"/>
        <v>151865.948</v>
      </c>
      <c r="J232" s="62">
        <f t="shared" si="92"/>
        <v>0</v>
      </c>
      <c r="K232" s="167">
        <f t="shared" si="75"/>
        <v>0.97615907440141414</v>
      </c>
      <c r="L232" s="168">
        <f t="shared" si="73"/>
        <v>4.2510902474526928E-3</v>
      </c>
    </row>
    <row r="233" spans="2:12" s="20" customFormat="1" x14ac:dyDescent="0.2">
      <c r="B233" s="378"/>
      <c r="C233" s="380"/>
      <c r="D233" s="380"/>
      <c r="E233" s="13">
        <v>25601001</v>
      </c>
      <c r="F233" s="40" t="s">
        <v>453</v>
      </c>
      <c r="G233" s="129">
        <v>45000</v>
      </c>
      <c r="H233" s="129">
        <v>35000</v>
      </c>
      <c r="I233" s="177"/>
      <c r="J233" s="129">
        <v>0</v>
      </c>
      <c r="K233" s="167">
        <f t="shared" si="75"/>
        <v>0</v>
      </c>
      <c r="L233" s="168">
        <f t="shared" si="73"/>
        <v>0</v>
      </c>
    </row>
    <row r="234" spans="2:12" s="20" customFormat="1" x14ac:dyDescent="0.2">
      <c r="B234" s="378"/>
      <c r="C234" s="380"/>
      <c r="D234" s="380"/>
      <c r="E234" s="13">
        <v>25602001</v>
      </c>
      <c r="F234" s="40" t="s">
        <v>138</v>
      </c>
      <c r="G234" s="129">
        <v>30000</v>
      </c>
      <c r="H234" s="129">
        <v>30000</v>
      </c>
      <c r="I234" s="177">
        <v>15588.56</v>
      </c>
      <c r="J234" s="129">
        <v>8893.1200000000008</v>
      </c>
      <c r="K234" s="167">
        <f t="shared" si="75"/>
        <v>0.51961866666666667</v>
      </c>
      <c r="L234" s="168">
        <f t="shared" si="73"/>
        <v>4.3636098981077143E-4</v>
      </c>
    </row>
    <row r="235" spans="2:12" s="20" customFormat="1" x14ac:dyDescent="0.2">
      <c r="B235" s="378"/>
      <c r="C235" s="380"/>
      <c r="D235" s="380"/>
      <c r="E235" s="13">
        <v>25603001</v>
      </c>
      <c r="F235" s="40" t="s">
        <v>456</v>
      </c>
      <c r="G235" s="129">
        <v>30000</v>
      </c>
      <c r="H235" s="129">
        <v>30000</v>
      </c>
      <c r="I235" s="177">
        <v>3999.6790000000001</v>
      </c>
      <c r="J235" s="129">
        <v>11645</v>
      </c>
      <c r="K235" s="167">
        <f t="shared" si="75"/>
        <v>0.13332263333333333</v>
      </c>
      <c r="L235" s="168">
        <f t="shared" si="73"/>
        <v>1.1196055872802598E-4</v>
      </c>
    </row>
    <row r="236" spans="2:12" s="20" customFormat="1" x14ac:dyDescent="0.2">
      <c r="B236" s="382"/>
      <c r="C236" s="381"/>
      <c r="D236" s="381"/>
      <c r="E236" s="319" t="s">
        <v>335</v>
      </c>
      <c r="F236" s="319"/>
      <c r="G236" s="57">
        <f t="shared" ref="G236" si="93">SUM(G233:G235)</f>
        <v>105000</v>
      </c>
      <c r="H236" s="57">
        <f t="shared" ref="H236:J236" si="94">SUM(H233:H235)</f>
        <v>95000</v>
      </c>
      <c r="I236" s="57">
        <f t="shared" si="94"/>
        <v>19588.239000000001</v>
      </c>
      <c r="J236" s="57">
        <f t="shared" si="94"/>
        <v>20538.120000000003</v>
      </c>
      <c r="K236" s="167">
        <f t="shared" si="75"/>
        <v>0.20619198947368422</v>
      </c>
      <c r="L236" s="168">
        <f t="shared" si="73"/>
        <v>5.4832154853879744E-4</v>
      </c>
    </row>
    <row r="237" spans="2:12" s="20" customFormat="1" x14ac:dyDescent="0.2">
      <c r="B237" s="361" t="s">
        <v>334</v>
      </c>
      <c r="C237" s="361"/>
      <c r="D237" s="361"/>
      <c r="E237" s="361"/>
      <c r="F237" s="361"/>
      <c r="G237" s="49">
        <f>G232+G236</f>
        <v>255075</v>
      </c>
      <c r="H237" s="49">
        <f t="shared" ref="H237:J237" si="95">H232+H236</f>
        <v>250575</v>
      </c>
      <c r="I237" s="49">
        <f t="shared" si="95"/>
        <v>171454.18700000001</v>
      </c>
      <c r="J237" s="49">
        <f t="shared" si="95"/>
        <v>20538.120000000003</v>
      </c>
      <c r="K237" s="167">
        <f t="shared" si="75"/>
        <v>0.68424298912501247</v>
      </c>
      <c r="L237" s="168">
        <f t="shared" si="73"/>
        <v>4.7994117959914906E-3</v>
      </c>
    </row>
    <row r="238" spans="2:12" s="20" customFormat="1" x14ac:dyDescent="0.2">
      <c r="B238" s="377" t="s">
        <v>361</v>
      </c>
      <c r="C238" s="379">
        <v>48</v>
      </c>
      <c r="D238" s="379">
        <v>0</v>
      </c>
      <c r="E238" s="13">
        <v>20103001</v>
      </c>
      <c r="F238" s="40" t="s">
        <v>331</v>
      </c>
      <c r="G238" s="129">
        <v>10000</v>
      </c>
      <c r="H238" s="129">
        <v>10000</v>
      </c>
      <c r="I238" s="177"/>
      <c r="J238" s="129">
        <v>0</v>
      </c>
      <c r="K238" s="167">
        <f t="shared" si="75"/>
        <v>0</v>
      </c>
      <c r="L238" s="168">
        <f t="shared" si="73"/>
        <v>0</v>
      </c>
    </row>
    <row r="239" spans="2:12" s="20" customFormat="1" x14ac:dyDescent="0.2">
      <c r="B239" s="378"/>
      <c r="C239" s="380"/>
      <c r="D239" s="380"/>
      <c r="E239" s="13">
        <v>23603002</v>
      </c>
      <c r="F239" s="40" t="s">
        <v>63</v>
      </c>
      <c r="G239" s="129">
        <v>75</v>
      </c>
      <c r="H239" s="129">
        <v>75</v>
      </c>
      <c r="I239" s="177"/>
      <c r="J239" s="129">
        <v>0</v>
      </c>
      <c r="K239" s="167">
        <f t="shared" si="75"/>
        <v>0</v>
      </c>
      <c r="L239" s="168">
        <f t="shared" si="73"/>
        <v>0</v>
      </c>
    </row>
    <row r="240" spans="2:12" s="20" customFormat="1" x14ac:dyDescent="0.2">
      <c r="B240" s="382"/>
      <c r="C240" s="380"/>
      <c r="D240" s="380"/>
      <c r="E240" s="364" t="s">
        <v>333</v>
      </c>
      <c r="F240" s="364"/>
      <c r="G240" s="62">
        <f t="shared" ref="G240" si="96">SUM(G238:G239)</f>
        <v>10075</v>
      </c>
      <c r="H240" s="62">
        <f t="shared" ref="H240:J240" si="97">SUM(H238:H239)</f>
        <v>10075</v>
      </c>
      <c r="I240" s="62">
        <f t="shared" si="97"/>
        <v>0</v>
      </c>
      <c r="J240" s="62">
        <f t="shared" si="97"/>
        <v>0</v>
      </c>
      <c r="K240" s="167">
        <f t="shared" si="75"/>
        <v>0</v>
      </c>
      <c r="L240" s="168">
        <f t="shared" si="73"/>
        <v>0</v>
      </c>
    </row>
    <row r="241" spans="2:12" s="20" customFormat="1" x14ac:dyDescent="0.2">
      <c r="B241" s="361" t="s">
        <v>334</v>
      </c>
      <c r="C241" s="361"/>
      <c r="D241" s="361"/>
      <c r="E241" s="361"/>
      <c r="F241" s="361"/>
      <c r="G241" s="49">
        <f t="shared" ref="G241" si="98">G240</f>
        <v>10075</v>
      </c>
      <c r="H241" s="49">
        <f t="shared" ref="H241:J241" si="99">H240</f>
        <v>10075</v>
      </c>
      <c r="I241" s="49">
        <f t="shared" si="99"/>
        <v>0</v>
      </c>
      <c r="J241" s="49">
        <f t="shared" si="99"/>
        <v>0</v>
      </c>
      <c r="K241" s="167">
        <f t="shared" si="75"/>
        <v>0</v>
      </c>
      <c r="L241" s="168">
        <f t="shared" si="73"/>
        <v>0</v>
      </c>
    </row>
    <row r="242" spans="2:12" s="20" customFormat="1" x14ac:dyDescent="0.2">
      <c r="B242" s="377" t="s">
        <v>362</v>
      </c>
      <c r="C242" s="379">
        <v>49</v>
      </c>
      <c r="D242" s="379">
        <v>0</v>
      </c>
      <c r="E242" s="13">
        <v>20103001</v>
      </c>
      <c r="F242" s="40" t="s">
        <v>331</v>
      </c>
      <c r="G242" s="129">
        <v>16000</v>
      </c>
      <c r="H242" s="129">
        <v>16000</v>
      </c>
      <c r="I242" s="177">
        <v>12342.535</v>
      </c>
      <c r="J242" s="129">
        <v>0</v>
      </c>
      <c r="K242" s="167">
        <f t="shared" si="75"/>
        <v>0.77140843749999999</v>
      </c>
      <c r="L242" s="168">
        <f t="shared" si="73"/>
        <v>3.4549700481469042E-4</v>
      </c>
    </row>
    <row r="243" spans="2:12" s="20" customFormat="1" x14ac:dyDescent="0.2">
      <c r="B243" s="378"/>
      <c r="C243" s="380"/>
      <c r="D243" s="380"/>
      <c r="E243" s="13">
        <v>23603002</v>
      </c>
      <c r="F243" s="40" t="s">
        <v>63</v>
      </c>
      <c r="G243" s="129">
        <v>75</v>
      </c>
      <c r="H243" s="129">
        <v>75</v>
      </c>
      <c r="I243" s="177"/>
      <c r="J243" s="129">
        <v>0</v>
      </c>
      <c r="K243" s="167">
        <f t="shared" si="75"/>
        <v>0</v>
      </c>
      <c r="L243" s="168">
        <f t="shared" si="73"/>
        <v>0</v>
      </c>
    </row>
    <row r="244" spans="2:12" s="20" customFormat="1" x14ac:dyDescent="0.2">
      <c r="B244" s="382"/>
      <c r="C244" s="380"/>
      <c r="D244" s="380"/>
      <c r="E244" s="364" t="s">
        <v>333</v>
      </c>
      <c r="F244" s="364"/>
      <c r="G244" s="62">
        <f t="shared" ref="G244" si="100">SUM(G242:G243)</f>
        <v>16075</v>
      </c>
      <c r="H244" s="62">
        <f t="shared" ref="H244:J244" si="101">SUM(H242:H243)</f>
        <v>16075</v>
      </c>
      <c r="I244" s="62">
        <f t="shared" si="101"/>
        <v>12342.535</v>
      </c>
      <c r="J244" s="62">
        <f t="shared" si="101"/>
        <v>0</v>
      </c>
      <c r="K244" s="167">
        <f t="shared" si="75"/>
        <v>0.76780933125972006</v>
      </c>
      <c r="L244" s="168">
        <f t="shared" si="73"/>
        <v>3.4549700481469042E-4</v>
      </c>
    </row>
    <row r="245" spans="2:12" s="20" customFormat="1" x14ac:dyDescent="0.2">
      <c r="B245" s="361" t="s">
        <v>334</v>
      </c>
      <c r="C245" s="361"/>
      <c r="D245" s="361"/>
      <c r="E245" s="361"/>
      <c r="F245" s="361"/>
      <c r="G245" s="49">
        <f>SUM(G244)</f>
        <v>16075</v>
      </c>
      <c r="H245" s="49">
        <f t="shared" ref="H245:J245" si="102">SUM(H244)</f>
        <v>16075</v>
      </c>
      <c r="I245" s="49">
        <f t="shared" si="102"/>
        <v>12342.535</v>
      </c>
      <c r="J245" s="49">
        <f t="shared" si="102"/>
        <v>0</v>
      </c>
      <c r="K245" s="167">
        <f t="shared" si="75"/>
        <v>0.76780933125972006</v>
      </c>
      <c r="L245" s="168">
        <f t="shared" si="73"/>
        <v>3.4549700481469042E-4</v>
      </c>
    </row>
    <row r="246" spans="2:12" s="20" customFormat="1" x14ac:dyDescent="0.2">
      <c r="B246" s="362" t="s">
        <v>363</v>
      </c>
      <c r="C246" s="363">
        <v>51</v>
      </c>
      <c r="D246" s="363">
        <v>0</v>
      </c>
      <c r="E246" s="13">
        <v>20103001</v>
      </c>
      <c r="F246" s="40" t="s">
        <v>331</v>
      </c>
      <c r="G246" s="129">
        <v>370000</v>
      </c>
      <c r="H246" s="129">
        <v>371000</v>
      </c>
      <c r="I246" s="177">
        <v>353565.74099999998</v>
      </c>
      <c r="J246" s="129">
        <v>0</v>
      </c>
      <c r="K246" s="167">
        <f t="shared" si="75"/>
        <v>0.95300738814016173</v>
      </c>
      <c r="L246" s="168">
        <f t="shared" si="73"/>
        <v>9.8971487235471941E-3</v>
      </c>
    </row>
    <row r="247" spans="2:12" s="20" customFormat="1" x14ac:dyDescent="0.2">
      <c r="B247" s="362"/>
      <c r="C247" s="363"/>
      <c r="D247" s="363"/>
      <c r="E247" s="13">
        <v>23603002</v>
      </c>
      <c r="F247" s="40" t="s">
        <v>63</v>
      </c>
      <c r="G247" s="129">
        <v>75</v>
      </c>
      <c r="H247" s="129">
        <v>75</v>
      </c>
      <c r="I247" s="177">
        <v>75</v>
      </c>
      <c r="J247" s="129">
        <v>0</v>
      </c>
      <c r="K247" s="167">
        <f t="shared" si="75"/>
        <v>1</v>
      </c>
      <c r="L247" s="168">
        <f t="shared" si="73"/>
        <v>2.0994289553241517E-6</v>
      </c>
    </row>
    <row r="248" spans="2:12" s="20" customFormat="1" x14ac:dyDescent="0.2">
      <c r="B248" s="362"/>
      <c r="C248" s="363"/>
      <c r="D248" s="363"/>
      <c r="E248" s="364" t="s">
        <v>333</v>
      </c>
      <c r="F248" s="364"/>
      <c r="G248" s="62">
        <f t="shared" ref="G248" si="103">SUM(G246:G247)</f>
        <v>370075</v>
      </c>
      <c r="H248" s="62">
        <f t="shared" ref="H248:J248" si="104">SUM(H246:H247)</f>
        <v>371075</v>
      </c>
      <c r="I248" s="62">
        <f t="shared" si="104"/>
        <v>353640.74099999998</v>
      </c>
      <c r="J248" s="62">
        <f t="shared" si="104"/>
        <v>0</v>
      </c>
      <c r="K248" s="167">
        <f t="shared" si="75"/>
        <v>0.95301688607424373</v>
      </c>
      <c r="L248" s="168">
        <f t="shared" si="73"/>
        <v>9.8992481525025187E-3</v>
      </c>
    </row>
    <row r="249" spans="2:12" s="20" customFormat="1" x14ac:dyDescent="0.2">
      <c r="B249" s="361" t="s">
        <v>334</v>
      </c>
      <c r="C249" s="361"/>
      <c r="D249" s="361"/>
      <c r="E249" s="361"/>
      <c r="F249" s="361"/>
      <c r="G249" s="49">
        <f t="shared" ref="G249" si="105">G248</f>
        <v>370075</v>
      </c>
      <c r="H249" s="49">
        <f t="shared" ref="H249:J249" si="106">H248</f>
        <v>371075</v>
      </c>
      <c r="I249" s="49">
        <f t="shared" si="106"/>
        <v>353640.74099999998</v>
      </c>
      <c r="J249" s="49">
        <f t="shared" si="106"/>
        <v>0</v>
      </c>
      <c r="K249" s="167">
        <f t="shared" si="75"/>
        <v>0.95301688607424373</v>
      </c>
      <c r="L249" s="168">
        <f t="shared" si="73"/>
        <v>9.8992481525025187E-3</v>
      </c>
    </row>
    <row r="250" spans="2:12" s="20" customFormat="1" x14ac:dyDescent="0.2">
      <c r="B250" s="362" t="s">
        <v>489</v>
      </c>
      <c r="C250" s="363">
        <v>52</v>
      </c>
      <c r="D250" s="363">
        <v>0</v>
      </c>
      <c r="E250" s="13">
        <v>20103001</v>
      </c>
      <c r="F250" s="40" t="s">
        <v>331</v>
      </c>
      <c r="G250" s="129">
        <v>130000</v>
      </c>
      <c r="H250" s="129">
        <v>130000</v>
      </c>
      <c r="I250" s="177">
        <v>104404.76</v>
      </c>
      <c r="J250" s="129">
        <v>0</v>
      </c>
      <c r="K250" s="167">
        <f t="shared" si="75"/>
        <v>0.80311353846153843</v>
      </c>
      <c r="L250" s="168">
        <f t="shared" si="73"/>
        <v>2.9225383495689169E-3</v>
      </c>
    </row>
    <row r="251" spans="2:12" s="20" customFormat="1" x14ac:dyDescent="0.2">
      <c r="B251" s="362"/>
      <c r="C251" s="363"/>
      <c r="D251" s="363"/>
      <c r="E251" s="13">
        <v>23603002</v>
      </c>
      <c r="F251" s="40" t="s">
        <v>63</v>
      </c>
      <c r="G251" s="129">
        <v>75</v>
      </c>
      <c r="H251" s="129">
        <v>75</v>
      </c>
      <c r="I251" s="177"/>
      <c r="J251" s="129">
        <v>0</v>
      </c>
      <c r="K251" s="167">
        <f t="shared" si="75"/>
        <v>0</v>
      </c>
      <c r="L251" s="168">
        <f t="shared" si="73"/>
        <v>0</v>
      </c>
    </row>
    <row r="252" spans="2:12" s="20" customFormat="1" x14ac:dyDescent="0.2">
      <c r="B252" s="362"/>
      <c r="C252" s="363"/>
      <c r="D252" s="363"/>
      <c r="E252" s="364" t="s">
        <v>333</v>
      </c>
      <c r="F252" s="364"/>
      <c r="G252" s="62">
        <f t="shared" ref="G252:J252" si="107">SUM(G250:G251)</f>
        <v>130075</v>
      </c>
      <c r="H252" s="62">
        <f t="shared" si="107"/>
        <v>130075</v>
      </c>
      <c r="I252" s="62">
        <f t="shared" si="107"/>
        <v>104404.76</v>
      </c>
      <c r="J252" s="62">
        <f t="shared" si="107"/>
        <v>0</v>
      </c>
      <c r="K252" s="167">
        <f t="shared" si="75"/>
        <v>0.80265047088218333</v>
      </c>
      <c r="L252" s="168">
        <f t="shared" si="73"/>
        <v>2.9225383495689169E-3</v>
      </c>
    </row>
    <row r="253" spans="2:12" s="20" customFormat="1" x14ac:dyDescent="0.2">
      <c r="B253" s="362"/>
      <c r="C253" s="363"/>
      <c r="D253" s="363"/>
      <c r="E253" s="13">
        <v>25901001</v>
      </c>
      <c r="F253" s="40" t="s">
        <v>101</v>
      </c>
      <c r="G253" s="129">
        <v>300000</v>
      </c>
      <c r="H253" s="129">
        <v>310000</v>
      </c>
      <c r="I253" s="177">
        <v>309999.35200000001</v>
      </c>
      <c r="J253" s="129">
        <v>0</v>
      </c>
      <c r="K253" s="167">
        <f t="shared" si="75"/>
        <v>0.99999790967741942</v>
      </c>
      <c r="L253" s="168">
        <f t="shared" si="73"/>
        <v>8.6776215429403211E-3</v>
      </c>
    </row>
    <row r="254" spans="2:12" s="20" customFormat="1" x14ac:dyDescent="0.2">
      <c r="B254" s="362"/>
      <c r="C254" s="363"/>
      <c r="D254" s="363"/>
      <c r="E254" s="23">
        <v>25902001</v>
      </c>
      <c r="F254" s="79" t="s">
        <v>800</v>
      </c>
      <c r="G254" s="129">
        <v>10000</v>
      </c>
      <c r="H254" s="129">
        <v>0</v>
      </c>
      <c r="I254" s="177"/>
      <c r="J254" s="129">
        <v>0</v>
      </c>
      <c r="K254" s="167" t="str">
        <f t="shared" si="75"/>
        <v/>
      </c>
      <c r="L254" s="168">
        <f t="shared" si="73"/>
        <v>0</v>
      </c>
    </row>
    <row r="255" spans="2:12" s="20" customFormat="1" x14ac:dyDescent="0.2">
      <c r="B255" s="362"/>
      <c r="C255" s="363"/>
      <c r="D255" s="363"/>
      <c r="E255" s="383" t="s">
        <v>364</v>
      </c>
      <c r="F255" s="383"/>
      <c r="G255" s="63">
        <f t="shared" ref="G255:J255" si="108">SUM(G253:G254)</f>
        <v>310000</v>
      </c>
      <c r="H255" s="63">
        <f t="shared" si="108"/>
        <v>310000</v>
      </c>
      <c r="I255" s="63">
        <f t="shared" si="108"/>
        <v>309999.35200000001</v>
      </c>
      <c r="J255" s="63">
        <f t="shared" si="108"/>
        <v>0</v>
      </c>
      <c r="K255" s="167">
        <f t="shared" si="75"/>
        <v>0.99999790967741942</v>
      </c>
      <c r="L255" s="168">
        <f t="shared" si="73"/>
        <v>8.6776215429403211E-3</v>
      </c>
    </row>
    <row r="256" spans="2:12" s="20" customFormat="1" x14ac:dyDescent="0.2">
      <c r="B256" s="362"/>
      <c r="C256" s="363"/>
      <c r="D256" s="363"/>
      <c r="E256" s="23">
        <v>26302008</v>
      </c>
      <c r="F256" s="80" t="s">
        <v>441</v>
      </c>
      <c r="G256" s="129">
        <v>10000</v>
      </c>
      <c r="H256" s="129">
        <v>10000</v>
      </c>
      <c r="I256" s="177"/>
      <c r="J256" s="129">
        <v>0</v>
      </c>
      <c r="K256" s="167">
        <f t="shared" si="75"/>
        <v>0</v>
      </c>
      <c r="L256" s="168">
        <f t="shared" si="73"/>
        <v>0</v>
      </c>
    </row>
    <row r="257" spans="2:12" s="20" customFormat="1" x14ac:dyDescent="0.2">
      <c r="B257" s="362"/>
      <c r="C257" s="363"/>
      <c r="D257" s="363"/>
      <c r="E257" s="23">
        <v>26402006</v>
      </c>
      <c r="F257" s="80" t="s">
        <v>315</v>
      </c>
      <c r="G257" s="129">
        <v>10000</v>
      </c>
      <c r="H257" s="129">
        <v>10000</v>
      </c>
      <c r="I257" s="177"/>
      <c r="J257" s="129">
        <v>0</v>
      </c>
      <c r="K257" s="167">
        <f t="shared" si="75"/>
        <v>0</v>
      </c>
      <c r="L257" s="168">
        <f t="shared" si="73"/>
        <v>0</v>
      </c>
    </row>
    <row r="258" spans="2:12" s="20" customFormat="1" x14ac:dyDescent="0.2">
      <c r="B258" s="362"/>
      <c r="C258" s="363"/>
      <c r="D258" s="363"/>
      <c r="E258" s="330" t="s">
        <v>336</v>
      </c>
      <c r="F258" s="330"/>
      <c r="G258" s="52">
        <f>SUM(G256:G257)</f>
        <v>20000</v>
      </c>
      <c r="H258" s="52">
        <f t="shared" ref="H258:J258" si="109">SUM(H256:H257)</f>
        <v>20000</v>
      </c>
      <c r="I258" s="52">
        <f t="shared" si="109"/>
        <v>0</v>
      </c>
      <c r="J258" s="52">
        <f t="shared" si="109"/>
        <v>0</v>
      </c>
      <c r="K258" s="167">
        <f t="shared" si="75"/>
        <v>0</v>
      </c>
      <c r="L258" s="168">
        <f t="shared" si="73"/>
        <v>0</v>
      </c>
    </row>
    <row r="259" spans="2:12" s="20" customFormat="1" x14ac:dyDescent="0.2">
      <c r="B259" s="361" t="s">
        <v>334</v>
      </c>
      <c r="C259" s="361"/>
      <c r="D259" s="361"/>
      <c r="E259" s="361"/>
      <c r="F259" s="361"/>
      <c r="G259" s="49">
        <f>G252+G255+G258</f>
        <v>460075</v>
      </c>
      <c r="H259" s="49">
        <f t="shared" ref="H259:J259" si="110">H252+H255+H258</f>
        <v>460075</v>
      </c>
      <c r="I259" s="49">
        <f t="shared" si="110"/>
        <v>414404.11200000002</v>
      </c>
      <c r="J259" s="49">
        <f t="shared" si="110"/>
        <v>0</v>
      </c>
      <c r="K259" s="167">
        <f t="shared" si="75"/>
        <v>0.90073164592729449</v>
      </c>
      <c r="L259" s="168">
        <f t="shared" si="73"/>
        <v>1.1600159892509239E-2</v>
      </c>
    </row>
    <row r="260" spans="2:12" s="20" customFormat="1" x14ac:dyDescent="0.2">
      <c r="B260" s="362" t="s">
        <v>365</v>
      </c>
      <c r="C260" s="363">
        <v>53</v>
      </c>
      <c r="D260" s="363">
        <v>0</v>
      </c>
      <c r="E260" s="13">
        <v>20103001</v>
      </c>
      <c r="F260" s="40" t="s">
        <v>331</v>
      </c>
      <c r="G260" s="129">
        <v>265000</v>
      </c>
      <c r="H260" s="129">
        <v>265000</v>
      </c>
      <c r="I260" s="177">
        <v>232437.69399999999</v>
      </c>
      <c r="J260" s="129">
        <v>0</v>
      </c>
      <c r="K260" s="167">
        <f t="shared" si="75"/>
        <v>0.87712337358490566</v>
      </c>
      <c r="L260" s="168">
        <f t="shared" ref="L260:L323" si="111">IFERROR(I260/$H$438,"")</f>
        <v>6.5064856678983315E-3</v>
      </c>
    </row>
    <row r="261" spans="2:12" s="20" customFormat="1" x14ac:dyDescent="0.2">
      <c r="B261" s="362"/>
      <c r="C261" s="363"/>
      <c r="D261" s="363"/>
      <c r="E261" s="22">
        <v>20117003</v>
      </c>
      <c r="F261" s="77" t="s">
        <v>32</v>
      </c>
      <c r="G261" s="129">
        <v>5000</v>
      </c>
      <c r="H261" s="129">
        <v>5000</v>
      </c>
      <c r="I261" s="177"/>
      <c r="J261" s="129">
        <v>0</v>
      </c>
      <c r="K261" s="167">
        <f t="shared" si="75"/>
        <v>0</v>
      </c>
      <c r="L261" s="168">
        <f t="shared" si="111"/>
        <v>0</v>
      </c>
    </row>
    <row r="262" spans="2:12" s="20" customFormat="1" x14ac:dyDescent="0.2">
      <c r="B262" s="362"/>
      <c r="C262" s="363"/>
      <c r="D262" s="363"/>
      <c r="E262" s="23">
        <v>21606001</v>
      </c>
      <c r="F262" s="79" t="s">
        <v>39</v>
      </c>
      <c r="G262" s="129">
        <v>30000</v>
      </c>
      <c r="H262" s="129">
        <v>30000</v>
      </c>
      <c r="I262" s="177"/>
      <c r="J262" s="129">
        <v>0</v>
      </c>
      <c r="K262" s="167">
        <f t="shared" si="75"/>
        <v>0</v>
      </c>
      <c r="L262" s="168">
        <f t="shared" si="111"/>
        <v>0</v>
      </c>
    </row>
    <row r="263" spans="2:12" s="20" customFormat="1" x14ac:dyDescent="0.2">
      <c r="B263" s="362"/>
      <c r="C263" s="363"/>
      <c r="D263" s="363"/>
      <c r="E263" s="13">
        <v>21607001</v>
      </c>
      <c r="F263" s="40" t="s">
        <v>42</v>
      </c>
      <c r="G263" s="129">
        <v>70000</v>
      </c>
      <c r="H263" s="129">
        <v>70000</v>
      </c>
      <c r="I263" s="177">
        <v>1925.52</v>
      </c>
      <c r="J263" s="129">
        <v>8354.75</v>
      </c>
      <c r="K263" s="167">
        <f t="shared" si="75"/>
        <v>2.7507428571428572E-2</v>
      </c>
      <c r="L263" s="168">
        <f t="shared" si="111"/>
        <v>5.3899899227410145E-5</v>
      </c>
    </row>
    <row r="264" spans="2:12" s="20" customFormat="1" x14ac:dyDescent="0.2">
      <c r="B264" s="362"/>
      <c r="C264" s="363"/>
      <c r="D264" s="363"/>
      <c r="E264" s="23">
        <v>21607004</v>
      </c>
      <c r="F264" s="79" t="s">
        <v>236</v>
      </c>
      <c r="G264" s="129">
        <v>15000</v>
      </c>
      <c r="H264" s="129">
        <v>15000</v>
      </c>
      <c r="I264" s="177">
        <v>3944.9560000000001</v>
      </c>
      <c r="J264" s="129">
        <v>4165.7439999999997</v>
      </c>
      <c r="K264" s="167">
        <f t="shared" si="75"/>
        <v>0.26299706666666667</v>
      </c>
      <c r="L264" s="168">
        <f t="shared" si="111"/>
        <v>1.1042873138506327E-4</v>
      </c>
    </row>
    <row r="265" spans="2:12" s="20" customFormat="1" x14ac:dyDescent="0.2">
      <c r="B265" s="362"/>
      <c r="C265" s="363"/>
      <c r="D265" s="363"/>
      <c r="E265" s="13">
        <v>23603002</v>
      </c>
      <c r="F265" s="40" t="s">
        <v>63</v>
      </c>
      <c r="G265" s="129">
        <v>75</v>
      </c>
      <c r="H265" s="129">
        <v>75</v>
      </c>
      <c r="I265" s="177">
        <v>70</v>
      </c>
      <c r="J265" s="129">
        <v>0</v>
      </c>
      <c r="K265" s="167">
        <f t="shared" si="75"/>
        <v>0.93333333333333335</v>
      </c>
      <c r="L265" s="168">
        <f t="shared" si="111"/>
        <v>1.9594670249692084E-6</v>
      </c>
    </row>
    <row r="266" spans="2:12" s="20" customFormat="1" x14ac:dyDescent="0.2">
      <c r="B266" s="362"/>
      <c r="C266" s="363"/>
      <c r="D266" s="363"/>
      <c r="E266" s="364" t="s">
        <v>333</v>
      </c>
      <c r="F266" s="364"/>
      <c r="G266" s="62">
        <f t="shared" ref="G266:J266" si="112">SUM(G260:G265)</f>
        <v>385075</v>
      </c>
      <c r="H266" s="62">
        <f t="shared" si="112"/>
        <v>385075</v>
      </c>
      <c r="I266" s="62">
        <f t="shared" si="112"/>
        <v>238378.16999999998</v>
      </c>
      <c r="J266" s="62">
        <f t="shared" si="112"/>
        <v>12520.493999999999</v>
      </c>
      <c r="K266" s="167">
        <f t="shared" si="75"/>
        <v>0.61904348503538265</v>
      </c>
      <c r="L266" s="168">
        <f t="shared" si="111"/>
        <v>6.6727737655357736E-3</v>
      </c>
    </row>
    <row r="267" spans="2:12" s="20" customFormat="1" x14ac:dyDescent="0.2">
      <c r="B267" s="362"/>
      <c r="C267" s="363"/>
      <c r="D267" s="363"/>
      <c r="E267" s="13">
        <v>25601004</v>
      </c>
      <c r="F267" s="40" t="s">
        <v>437</v>
      </c>
      <c r="G267" s="129">
        <v>4000</v>
      </c>
      <c r="H267" s="129">
        <v>4000</v>
      </c>
      <c r="I267" s="177"/>
      <c r="J267" s="129">
        <v>0</v>
      </c>
      <c r="K267" s="167">
        <f t="shared" si="75"/>
        <v>0</v>
      </c>
      <c r="L267" s="168">
        <f t="shared" si="111"/>
        <v>0</v>
      </c>
    </row>
    <row r="268" spans="2:12" s="20" customFormat="1" x14ac:dyDescent="0.2">
      <c r="B268" s="362"/>
      <c r="C268" s="363"/>
      <c r="D268" s="363"/>
      <c r="E268" s="319" t="s">
        <v>335</v>
      </c>
      <c r="F268" s="319"/>
      <c r="G268" s="57">
        <f t="shared" ref="G268:J268" si="113">SUM(G267)</f>
        <v>4000</v>
      </c>
      <c r="H268" s="57">
        <f t="shared" si="113"/>
        <v>4000</v>
      </c>
      <c r="I268" s="57">
        <f t="shared" si="113"/>
        <v>0</v>
      </c>
      <c r="J268" s="57">
        <f t="shared" si="113"/>
        <v>0</v>
      </c>
      <c r="K268" s="167">
        <f t="shared" si="75"/>
        <v>0</v>
      </c>
      <c r="L268" s="168">
        <f t="shared" si="111"/>
        <v>0</v>
      </c>
    </row>
    <row r="269" spans="2:12" s="20" customFormat="1" x14ac:dyDescent="0.2">
      <c r="B269" s="362"/>
      <c r="C269" s="363"/>
      <c r="D269" s="363"/>
      <c r="E269" s="13">
        <v>26301001</v>
      </c>
      <c r="F269" s="40" t="s">
        <v>102</v>
      </c>
      <c r="G269" s="129">
        <v>40000</v>
      </c>
      <c r="H269" s="129">
        <v>20000</v>
      </c>
      <c r="I269" s="177">
        <v>610</v>
      </c>
      <c r="J269" s="129">
        <v>361.25</v>
      </c>
      <c r="K269" s="167">
        <f t="shared" si="75"/>
        <v>3.0499999999999999E-2</v>
      </c>
      <c r="L269" s="168">
        <f t="shared" si="111"/>
        <v>1.7075355503303101E-5</v>
      </c>
    </row>
    <row r="270" spans="2:12" s="20" customFormat="1" x14ac:dyDescent="0.2">
      <c r="B270" s="362"/>
      <c r="C270" s="363"/>
      <c r="D270" s="363"/>
      <c r="E270" s="23">
        <v>26302001</v>
      </c>
      <c r="F270" s="80" t="s">
        <v>240</v>
      </c>
      <c r="G270" s="129">
        <v>15000</v>
      </c>
      <c r="H270" s="129">
        <v>75000</v>
      </c>
      <c r="I270" s="177">
        <v>750</v>
      </c>
      <c r="J270" s="129">
        <v>70450</v>
      </c>
      <c r="K270" s="167">
        <f t="shared" si="75"/>
        <v>0.01</v>
      </c>
      <c r="L270" s="168">
        <f t="shared" si="111"/>
        <v>2.0994289553241517E-5</v>
      </c>
    </row>
    <row r="271" spans="2:12" s="20" customFormat="1" x14ac:dyDescent="0.2">
      <c r="B271" s="362"/>
      <c r="C271" s="363"/>
      <c r="D271" s="363"/>
      <c r="E271" s="330" t="s">
        <v>336</v>
      </c>
      <c r="F271" s="330"/>
      <c r="G271" s="52">
        <f t="shared" ref="G271" si="114">SUM(G269:G270)</f>
        <v>55000</v>
      </c>
      <c r="H271" s="52">
        <f t="shared" ref="H271:J271" si="115">SUM(H269:H270)</f>
        <v>95000</v>
      </c>
      <c r="I271" s="52">
        <f t="shared" si="115"/>
        <v>1360</v>
      </c>
      <c r="J271" s="52">
        <f t="shared" si="115"/>
        <v>70811.25</v>
      </c>
      <c r="K271" s="167">
        <f t="shared" si="75"/>
        <v>1.4315789473684211E-2</v>
      </c>
      <c r="L271" s="168">
        <f t="shared" si="111"/>
        <v>3.8069645056544622E-5</v>
      </c>
    </row>
    <row r="272" spans="2:12" s="20" customFormat="1" x14ac:dyDescent="0.2">
      <c r="B272" s="361" t="s">
        <v>334</v>
      </c>
      <c r="C272" s="361"/>
      <c r="D272" s="361"/>
      <c r="E272" s="361"/>
      <c r="F272" s="361"/>
      <c r="G272" s="49">
        <f t="shared" ref="G272" si="116">G266+G268+G271</f>
        <v>444075</v>
      </c>
      <c r="H272" s="49">
        <f t="shared" ref="H272:J272" si="117">H266+H268+H271</f>
        <v>484075</v>
      </c>
      <c r="I272" s="49">
        <f t="shared" si="117"/>
        <v>239738.16999999998</v>
      </c>
      <c r="J272" s="49">
        <f t="shared" si="117"/>
        <v>83331.744000000006</v>
      </c>
      <c r="K272" s="167">
        <f t="shared" ref="K272:K333" si="118">IFERROR(I272/H272,"")</f>
        <v>0.4952500542271342</v>
      </c>
      <c r="L272" s="168">
        <f t="shared" si="111"/>
        <v>6.7108434105923181E-3</v>
      </c>
    </row>
    <row r="273" spans="2:12" s="20" customFormat="1" x14ac:dyDescent="0.2">
      <c r="B273" s="362" t="s">
        <v>366</v>
      </c>
      <c r="C273" s="363">
        <v>54</v>
      </c>
      <c r="D273" s="363">
        <v>0</v>
      </c>
      <c r="E273" s="13">
        <v>20103001</v>
      </c>
      <c r="F273" s="40" t="s">
        <v>331</v>
      </c>
      <c r="G273" s="129">
        <v>230000</v>
      </c>
      <c r="H273" s="129">
        <v>252000</v>
      </c>
      <c r="I273" s="177">
        <v>247937.67800000001</v>
      </c>
      <c r="J273" s="129">
        <v>0</v>
      </c>
      <c r="K273" s="167">
        <f t="shared" si="118"/>
        <v>0.98387967460317471</v>
      </c>
      <c r="L273" s="168">
        <f t="shared" si="111"/>
        <v>6.9403672041204794E-3</v>
      </c>
    </row>
    <row r="274" spans="2:12" s="20" customFormat="1" x14ac:dyDescent="0.2">
      <c r="B274" s="362"/>
      <c r="C274" s="363"/>
      <c r="D274" s="363"/>
      <c r="E274" s="23">
        <v>21607005</v>
      </c>
      <c r="F274" s="80" t="s">
        <v>484</v>
      </c>
      <c r="G274" s="91">
        <v>7000</v>
      </c>
      <c r="H274" s="91">
        <v>7000</v>
      </c>
      <c r="I274" s="177"/>
      <c r="J274" s="129">
        <v>6999.75</v>
      </c>
      <c r="K274" s="167">
        <f t="shared" si="118"/>
        <v>0</v>
      </c>
      <c r="L274" s="168">
        <f t="shared" si="111"/>
        <v>0</v>
      </c>
    </row>
    <row r="275" spans="2:12" s="20" customFormat="1" x14ac:dyDescent="0.2">
      <c r="B275" s="362"/>
      <c r="C275" s="363"/>
      <c r="D275" s="363"/>
      <c r="E275" s="13">
        <v>23603002</v>
      </c>
      <c r="F275" s="40" t="s">
        <v>63</v>
      </c>
      <c r="G275" s="129">
        <v>75</v>
      </c>
      <c r="H275" s="129">
        <v>75</v>
      </c>
      <c r="I275" s="177">
        <v>75</v>
      </c>
      <c r="J275" s="129">
        <v>0</v>
      </c>
      <c r="K275" s="167">
        <f t="shared" si="118"/>
        <v>1</v>
      </c>
      <c r="L275" s="168">
        <f t="shared" si="111"/>
        <v>2.0994289553241517E-6</v>
      </c>
    </row>
    <row r="276" spans="2:12" s="20" customFormat="1" x14ac:dyDescent="0.2">
      <c r="B276" s="362"/>
      <c r="C276" s="363"/>
      <c r="D276" s="363"/>
      <c r="E276" s="364" t="s">
        <v>333</v>
      </c>
      <c r="F276" s="364"/>
      <c r="G276" s="62">
        <f t="shared" ref="G276" si="119">SUM(G273:G275)</f>
        <v>237075</v>
      </c>
      <c r="H276" s="62">
        <f t="shared" ref="H276:J276" si="120">SUM(H273:H275)</f>
        <v>259075</v>
      </c>
      <c r="I276" s="62">
        <f t="shared" si="120"/>
        <v>248012.67800000001</v>
      </c>
      <c r="J276" s="62">
        <f t="shared" si="120"/>
        <v>6999.75</v>
      </c>
      <c r="K276" s="167">
        <f t="shared" si="118"/>
        <v>0.95730069670944717</v>
      </c>
      <c r="L276" s="168">
        <f t="shared" si="111"/>
        <v>6.942466633075804E-3</v>
      </c>
    </row>
    <row r="277" spans="2:12" s="20" customFormat="1" x14ac:dyDescent="0.2">
      <c r="B277" s="361" t="s">
        <v>334</v>
      </c>
      <c r="C277" s="361"/>
      <c r="D277" s="361"/>
      <c r="E277" s="361"/>
      <c r="F277" s="361"/>
      <c r="G277" s="49">
        <f t="shared" ref="G277" si="121">G276</f>
        <v>237075</v>
      </c>
      <c r="H277" s="49">
        <f t="shared" ref="H277:J277" si="122">H276</f>
        <v>259075</v>
      </c>
      <c r="I277" s="49">
        <f t="shared" si="122"/>
        <v>248012.67800000001</v>
      </c>
      <c r="J277" s="49">
        <f t="shared" si="122"/>
        <v>6999.75</v>
      </c>
      <c r="K277" s="167">
        <f t="shared" si="118"/>
        <v>0.95730069670944717</v>
      </c>
      <c r="L277" s="168">
        <f t="shared" si="111"/>
        <v>6.942466633075804E-3</v>
      </c>
    </row>
    <row r="278" spans="2:12" s="20" customFormat="1" x14ac:dyDescent="0.2">
      <c r="B278" s="362" t="s">
        <v>367</v>
      </c>
      <c r="C278" s="363">
        <v>55</v>
      </c>
      <c r="D278" s="363">
        <v>0</v>
      </c>
      <c r="E278" s="13">
        <v>20103001</v>
      </c>
      <c r="F278" s="40" t="s">
        <v>331</v>
      </c>
      <c r="G278" s="129">
        <v>292000</v>
      </c>
      <c r="H278" s="129">
        <v>298000</v>
      </c>
      <c r="I278" s="177">
        <v>282624.33</v>
      </c>
      <c r="J278" s="129">
        <v>0</v>
      </c>
      <c r="K278" s="167">
        <f t="shared" si="118"/>
        <v>0.94840379194630875</v>
      </c>
      <c r="L278" s="168">
        <f t="shared" si="111"/>
        <v>7.9113293584145115E-3</v>
      </c>
    </row>
    <row r="279" spans="2:12" s="20" customFormat="1" x14ac:dyDescent="0.2">
      <c r="B279" s="362"/>
      <c r="C279" s="363"/>
      <c r="D279" s="363"/>
      <c r="E279" s="13">
        <v>23603002</v>
      </c>
      <c r="F279" s="40" t="s">
        <v>63</v>
      </c>
      <c r="G279" s="129">
        <v>75</v>
      </c>
      <c r="H279" s="129">
        <v>75</v>
      </c>
      <c r="I279" s="177"/>
      <c r="J279" s="129">
        <v>0</v>
      </c>
      <c r="K279" s="167">
        <f t="shared" si="118"/>
        <v>0</v>
      </c>
      <c r="L279" s="168">
        <f t="shared" si="111"/>
        <v>0</v>
      </c>
    </row>
    <row r="280" spans="2:12" s="20" customFormat="1" x14ac:dyDescent="0.2">
      <c r="B280" s="362"/>
      <c r="C280" s="363"/>
      <c r="D280" s="363"/>
      <c r="E280" s="364" t="s">
        <v>333</v>
      </c>
      <c r="F280" s="364"/>
      <c r="G280" s="62">
        <f t="shared" ref="G280:J280" si="123">SUM(G278:G279)</f>
        <v>292075</v>
      </c>
      <c r="H280" s="62">
        <f t="shared" si="123"/>
        <v>298075</v>
      </c>
      <c r="I280" s="62">
        <f>SUM(I278:I279)</f>
        <v>282624.33</v>
      </c>
      <c r="J280" s="62">
        <f t="shared" si="123"/>
        <v>0</v>
      </c>
      <c r="K280" s="167">
        <f t="shared" si="118"/>
        <v>0.94816515977522442</v>
      </c>
      <c r="L280" s="168">
        <f t="shared" si="111"/>
        <v>7.9113293584145115E-3</v>
      </c>
    </row>
    <row r="281" spans="2:12" s="20" customFormat="1" x14ac:dyDescent="0.2">
      <c r="B281" s="362"/>
      <c r="C281" s="363"/>
      <c r="D281" s="363"/>
      <c r="E281" s="13">
        <v>25701001</v>
      </c>
      <c r="F281" s="40" t="s">
        <v>470</v>
      </c>
      <c r="G281" s="129">
        <v>30000</v>
      </c>
      <c r="H281" s="129">
        <v>30000</v>
      </c>
      <c r="I281" s="177">
        <v>5249.5649999999996</v>
      </c>
      <c r="J281" s="129">
        <v>0.435</v>
      </c>
      <c r="K281" s="167">
        <f t="shared" si="118"/>
        <v>0.17498549999999999</v>
      </c>
      <c r="L281" s="168">
        <f t="shared" si="111"/>
        <v>1.4694785018474972E-4</v>
      </c>
    </row>
    <row r="282" spans="2:12" s="20" customFormat="1" x14ac:dyDescent="0.2">
      <c r="B282" s="362"/>
      <c r="C282" s="363"/>
      <c r="D282" s="363"/>
      <c r="E282" s="13">
        <v>25701002</v>
      </c>
      <c r="F282" s="40" t="s">
        <v>100</v>
      </c>
      <c r="G282" s="129">
        <v>5000</v>
      </c>
      <c r="H282" s="129">
        <v>5000</v>
      </c>
      <c r="I282" s="177"/>
      <c r="J282" s="129">
        <v>0</v>
      </c>
      <c r="K282" s="167">
        <f t="shared" si="118"/>
        <v>0</v>
      </c>
      <c r="L282" s="168">
        <f t="shared" si="111"/>
        <v>0</v>
      </c>
    </row>
    <row r="283" spans="2:12" s="20" customFormat="1" x14ac:dyDescent="0.2">
      <c r="B283" s="362"/>
      <c r="C283" s="363"/>
      <c r="D283" s="363"/>
      <c r="E283" s="319" t="s">
        <v>335</v>
      </c>
      <c r="F283" s="319"/>
      <c r="G283" s="57">
        <f>SUM(G281:G282)</f>
        <v>35000</v>
      </c>
      <c r="H283" s="57">
        <f>SUM(H281:H282)</f>
        <v>35000</v>
      </c>
      <c r="I283" s="57">
        <f>SUM(I281:I282)</f>
        <v>5249.5649999999996</v>
      </c>
      <c r="J283" s="57">
        <f>SUM(J281:J282)</f>
        <v>0.435</v>
      </c>
      <c r="K283" s="167">
        <f t="shared" si="118"/>
        <v>0.14998757142857141</v>
      </c>
      <c r="L283" s="168">
        <f t="shared" si="111"/>
        <v>1.4694785018474972E-4</v>
      </c>
    </row>
    <row r="284" spans="2:12" s="20" customFormat="1" x14ac:dyDescent="0.2">
      <c r="B284" s="362"/>
      <c r="C284" s="363"/>
      <c r="D284" s="363"/>
      <c r="E284" s="13">
        <v>26301006</v>
      </c>
      <c r="F284" s="40" t="s">
        <v>5</v>
      </c>
      <c r="G284" s="129">
        <v>5000</v>
      </c>
      <c r="H284" s="129">
        <v>5000</v>
      </c>
      <c r="I284" s="177"/>
      <c r="J284" s="129">
        <v>0</v>
      </c>
      <c r="K284" s="167">
        <f t="shared" si="118"/>
        <v>0</v>
      </c>
      <c r="L284" s="168">
        <f t="shared" si="111"/>
        <v>0</v>
      </c>
    </row>
    <row r="285" spans="2:12" s="20" customFormat="1" x14ac:dyDescent="0.2">
      <c r="B285" s="362"/>
      <c r="C285" s="363"/>
      <c r="D285" s="363"/>
      <c r="E285" s="330" t="s">
        <v>336</v>
      </c>
      <c r="F285" s="330"/>
      <c r="G285" s="52">
        <f t="shared" ref="G285" si="124">SUM(G284:G284)</f>
        <v>5000</v>
      </c>
      <c r="H285" s="52">
        <f t="shared" ref="H285:J285" si="125">SUM(H284:H284)</f>
        <v>5000</v>
      </c>
      <c r="I285" s="52">
        <f t="shared" si="125"/>
        <v>0</v>
      </c>
      <c r="J285" s="52">
        <f t="shared" si="125"/>
        <v>0</v>
      </c>
      <c r="K285" s="167">
        <f t="shared" si="118"/>
        <v>0</v>
      </c>
      <c r="L285" s="168">
        <f t="shared" si="111"/>
        <v>0</v>
      </c>
    </row>
    <row r="286" spans="2:12" s="20" customFormat="1" x14ac:dyDescent="0.2">
      <c r="B286" s="361" t="s">
        <v>334</v>
      </c>
      <c r="C286" s="361"/>
      <c r="D286" s="361"/>
      <c r="E286" s="361"/>
      <c r="F286" s="361"/>
      <c r="G286" s="49">
        <f>G280+G283+G285</f>
        <v>332075</v>
      </c>
      <c r="H286" s="49">
        <f>H280+H283+H285</f>
        <v>338075</v>
      </c>
      <c r="I286" s="49">
        <f>I280+I283+I285</f>
        <v>287873.89500000002</v>
      </c>
      <c r="J286" s="49">
        <f>J280+J283+J285</f>
        <v>0.435</v>
      </c>
      <c r="K286" s="167">
        <f t="shared" si="118"/>
        <v>0.85150896990312808</v>
      </c>
      <c r="L286" s="168">
        <f t="shared" si="111"/>
        <v>8.058277208599262E-3</v>
      </c>
    </row>
    <row r="287" spans="2:12" s="20" customFormat="1" x14ac:dyDescent="0.2">
      <c r="B287" s="362" t="s">
        <v>368</v>
      </c>
      <c r="C287" s="363">
        <v>56</v>
      </c>
      <c r="D287" s="363">
        <v>0</v>
      </c>
      <c r="E287" s="13">
        <v>20103001</v>
      </c>
      <c r="F287" s="40" t="s">
        <v>331</v>
      </c>
      <c r="G287" s="129">
        <v>995000</v>
      </c>
      <c r="H287" s="129">
        <v>965000</v>
      </c>
      <c r="I287" s="177">
        <v>930072.41</v>
      </c>
      <c r="J287" s="129">
        <v>0</v>
      </c>
      <c r="K287" s="167">
        <f t="shared" si="118"/>
        <v>0.96380560621761657</v>
      </c>
      <c r="L287" s="168">
        <f t="shared" si="111"/>
        <v>2.6034945974694884E-2</v>
      </c>
    </row>
    <row r="288" spans="2:12" s="20" customFormat="1" x14ac:dyDescent="0.2">
      <c r="B288" s="362"/>
      <c r="C288" s="363"/>
      <c r="D288" s="363"/>
      <c r="E288" s="22">
        <v>20117003</v>
      </c>
      <c r="F288" s="77" t="s">
        <v>32</v>
      </c>
      <c r="G288" s="129">
        <v>150000</v>
      </c>
      <c r="H288" s="129">
        <v>140000</v>
      </c>
      <c r="I288" s="177">
        <v>97629.79</v>
      </c>
      <c r="J288" s="129">
        <v>0</v>
      </c>
      <c r="K288" s="167">
        <f t="shared" si="118"/>
        <v>0.6973556428571428</v>
      </c>
      <c r="L288" s="168">
        <f t="shared" si="111"/>
        <v>2.7328907737095508E-3</v>
      </c>
    </row>
    <row r="289" spans="2:13" s="20" customFormat="1" x14ac:dyDescent="0.2">
      <c r="B289" s="362"/>
      <c r="C289" s="363"/>
      <c r="D289" s="363"/>
      <c r="E289" s="23">
        <v>21604004</v>
      </c>
      <c r="F289" s="79" t="s">
        <v>235</v>
      </c>
      <c r="G289" s="129">
        <v>5000</v>
      </c>
      <c r="H289" s="129">
        <v>5000</v>
      </c>
      <c r="I289" s="177"/>
      <c r="J289" s="129">
        <v>0</v>
      </c>
      <c r="K289" s="167">
        <f t="shared" si="118"/>
        <v>0</v>
      </c>
      <c r="L289" s="168">
        <f t="shared" si="111"/>
        <v>0</v>
      </c>
    </row>
    <row r="290" spans="2:13" s="20" customFormat="1" x14ac:dyDescent="0.2">
      <c r="B290" s="362"/>
      <c r="C290" s="363"/>
      <c r="D290" s="363"/>
      <c r="E290" s="95">
        <v>21604010</v>
      </c>
      <c r="F290" s="40" t="s">
        <v>38</v>
      </c>
      <c r="G290" s="129">
        <v>1500</v>
      </c>
      <c r="H290" s="129">
        <v>1500</v>
      </c>
      <c r="I290" s="177">
        <v>238.8</v>
      </c>
      <c r="J290" s="129">
        <v>0</v>
      </c>
      <c r="K290" s="167">
        <f t="shared" si="118"/>
        <v>0.15920000000000001</v>
      </c>
      <c r="L290" s="168">
        <f t="shared" si="111"/>
        <v>6.6845817937520999E-6</v>
      </c>
    </row>
    <row r="291" spans="2:13" s="20" customFormat="1" x14ac:dyDescent="0.2">
      <c r="B291" s="362"/>
      <c r="C291" s="363"/>
      <c r="D291" s="363"/>
      <c r="E291" s="95">
        <v>21605001</v>
      </c>
      <c r="F291" s="80" t="s">
        <v>458</v>
      </c>
      <c r="G291" s="129">
        <v>50000</v>
      </c>
      <c r="H291" s="129">
        <v>50000</v>
      </c>
      <c r="I291" s="177">
        <v>2391.7559999999999</v>
      </c>
      <c r="J291" s="129">
        <v>0</v>
      </c>
      <c r="K291" s="167">
        <f t="shared" si="118"/>
        <v>4.7835119999999995E-2</v>
      </c>
      <c r="L291" s="168">
        <f t="shared" si="111"/>
        <v>6.6950957339603629E-5</v>
      </c>
    </row>
    <row r="292" spans="2:13" s="20" customFormat="1" x14ac:dyDescent="0.2">
      <c r="B292" s="362"/>
      <c r="C292" s="363"/>
      <c r="D292" s="363"/>
      <c r="E292" s="95">
        <v>21609001</v>
      </c>
      <c r="F292" s="80" t="s">
        <v>442</v>
      </c>
      <c r="G292" s="129">
        <v>15000</v>
      </c>
      <c r="H292" s="129">
        <v>15000</v>
      </c>
      <c r="I292" s="177">
        <v>715.5</v>
      </c>
      <c r="J292" s="129">
        <v>0</v>
      </c>
      <c r="K292" s="167">
        <f t="shared" si="118"/>
        <v>4.7699999999999999E-2</v>
      </c>
      <c r="L292" s="168">
        <f t="shared" si="111"/>
        <v>2.0028552233792408E-5</v>
      </c>
    </row>
    <row r="293" spans="2:13" s="20" customFormat="1" x14ac:dyDescent="0.2">
      <c r="B293" s="362"/>
      <c r="C293" s="363"/>
      <c r="D293" s="363"/>
      <c r="E293" s="95">
        <v>21609002</v>
      </c>
      <c r="F293" s="80" t="s">
        <v>460</v>
      </c>
      <c r="G293" s="129">
        <v>25000</v>
      </c>
      <c r="H293" s="129">
        <v>25000</v>
      </c>
      <c r="I293" s="177"/>
      <c r="J293" s="129">
        <v>0</v>
      </c>
      <c r="K293" s="167">
        <f t="shared" si="118"/>
        <v>0</v>
      </c>
      <c r="L293" s="168">
        <f t="shared" si="111"/>
        <v>0</v>
      </c>
    </row>
    <row r="294" spans="2:13" s="20" customFormat="1" x14ac:dyDescent="0.2">
      <c r="B294" s="362"/>
      <c r="C294" s="363"/>
      <c r="D294" s="363"/>
      <c r="E294" s="23">
        <v>21610001</v>
      </c>
      <c r="F294" s="79" t="s">
        <v>270</v>
      </c>
      <c r="G294" s="129">
        <v>4000</v>
      </c>
      <c r="H294" s="129">
        <v>4000</v>
      </c>
      <c r="I294" s="177"/>
      <c r="J294" s="129">
        <v>0</v>
      </c>
      <c r="K294" s="167">
        <f t="shared" si="118"/>
        <v>0</v>
      </c>
      <c r="L294" s="168">
        <f t="shared" si="111"/>
        <v>0</v>
      </c>
    </row>
    <row r="295" spans="2:13" s="20" customFormat="1" x14ac:dyDescent="0.2">
      <c r="B295" s="362"/>
      <c r="C295" s="363"/>
      <c r="D295" s="363"/>
      <c r="E295" s="13">
        <v>23603002</v>
      </c>
      <c r="F295" s="40" t="s">
        <v>63</v>
      </c>
      <c r="G295" s="129">
        <v>75</v>
      </c>
      <c r="H295" s="129">
        <v>75</v>
      </c>
      <c r="I295" s="177"/>
      <c r="J295" s="129">
        <v>0</v>
      </c>
      <c r="K295" s="167">
        <f t="shared" si="118"/>
        <v>0</v>
      </c>
      <c r="L295" s="168">
        <f t="shared" si="111"/>
        <v>0</v>
      </c>
    </row>
    <row r="296" spans="2:13" s="20" customFormat="1" x14ac:dyDescent="0.2">
      <c r="B296" s="362"/>
      <c r="C296" s="363"/>
      <c r="D296" s="363"/>
      <c r="E296" s="13">
        <v>23604001</v>
      </c>
      <c r="F296" s="40" t="s">
        <v>369</v>
      </c>
      <c r="G296" s="129">
        <v>70000</v>
      </c>
      <c r="H296" s="129">
        <v>20000</v>
      </c>
      <c r="I296" s="177"/>
      <c r="J296" s="129">
        <v>0</v>
      </c>
      <c r="K296" s="167">
        <f t="shared" si="118"/>
        <v>0</v>
      </c>
      <c r="L296" s="168">
        <f t="shared" si="111"/>
        <v>0</v>
      </c>
    </row>
    <row r="297" spans="2:13" s="20" customFormat="1" x14ac:dyDescent="0.2">
      <c r="B297" s="362"/>
      <c r="C297" s="363"/>
      <c r="D297" s="363"/>
      <c r="E297" s="22">
        <v>23604003</v>
      </c>
      <c r="F297" s="77" t="s">
        <v>459</v>
      </c>
      <c r="G297" s="129">
        <v>50000</v>
      </c>
      <c r="H297" s="129">
        <v>10000</v>
      </c>
      <c r="I297" s="177">
        <v>2310</v>
      </c>
      <c r="J297" s="129">
        <v>0</v>
      </c>
      <c r="K297" s="167">
        <f t="shared" si="118"/>
        <v>0.23100000000000001</v>
      </c>
      <c r="L297" s="168">
        <f t="shared" si="111"/>
        <v>6.4662411823983876E-5</v>
      </c>
    </row>
    <row r="298" spans="2:13" s="20" customFormat="1" x14ac:dyDescent="0.2">
      <c r="B298" s="362"/>
      <c r="C298" s="363"/>
      <c r="D298" s="363"/>
      <c r="E298" s="364" t="s">
        <v>333</v>
      </c>
      <c r="F298" s="364"/>
      <c r="G298" s="62">
        <f>SUM(G287:G297)</f>
        <v>1365575</v>
      </c>
      <c r="H298" s="62">
        <f t="shared" ref="H298:J298" si="126">SUM(H287:H297)</f>
        <v>1235575</v>
      </c>
      <c r="I298" s="62">
        <f t="shared" si="126"/>
        <v>1033358.2560000002</v>
      </c>
      <c r="J298" s="62">
        <f t="shared" si="126"/>
        <v>0</v>
      </c>
      <c r="K298" s="167">
        <f t="shared" si="118"/>
        <v>0.83633794468162614</v>
      </c>
      <c r="L298" s="168">
        <f t="shared" si="111"/>
        <v>2.8926163251595572E-2</v>
      </c>
    </row>
    <row r="299" spans="2:13" s="20" customFormat="1" x14ac:dyDescent="0.2">
      <c r="B299" s="362"/>
      <c r="C299" s="363"/>
      <c r="D299" s="363"/>
      <c r="E299" s="95">
        <v>26401017</v>
      </c>
      <c r="F299" s="80" t="s">
        <v>9</v>
      </c>
      <c r="G299" s="129">
        <v>50000</v>
      </c>
      <c r="H299" s="129">
        <v>50000</v>
      </c>
      <c r="I299" s="177"/>
      <c r="J299" s="129">
        <v>0</v>
      </c>
      <c r="K299" s="167">
        <f t="shared" si="118"/>
        <v>0</v>
      </c>
      <c r="L299" s="168">
        <f t="shared" si="111"/>
        <v>0</v>
      </c>
      <c r="M299" s="125"/>
    </row>
    <row r="300" spans="2:13" s="20" customFormat="1" x14ac:dyDescent="0.2">
      <c r="B300" s="362"/>
      <c r="C300" s="363"/>
      <c r="D300" s="363"/>
      <c r="E300" s="23">
        <v>26401018</v>
      </c>
      <c r="F300" s="80" t="s">
        <v>439</v>
      </c>
      <c r="G300" s="129">
        <v>15000</v>
      </c>
      <c r="H300" s="129">
        <v>15000</v>
      </c>
      <c r="I300" s="177"/>
      <c r="J300" s="129">
        <v>0</v>
      </c>
      <c r="K300" s="167">
        <f t="shared" si="118"/>
        <v>0</v>
      </c>
      <c r="L300" s="168">
        <f t="shared" si="111"/>
        <v>0</v>
      </c>
      <c r="M300" s="125"/>
    </row>
    <row r="301" spans="2:13" s="20" customFormat="1" x14ac:dyDescent="0.2">
      <c r="B301" s="362"/>
      <c r="C301" s="363"/>
      <c r="D301" s="363"/>
      <c r="E301" s="23">
        <v>26402003</v>
      </c>
      <c r="F301" s="80" t="s">
        <v>461</v>
      </c>
      <c r="G301" s="129">
        <v>15000</v>
      </c>
      <c r="H301" s="129">
        <v>15000</v>
      </c>
      <c r="I301" s="177"/>
      <c r="J301" s="129">
        <v>0</v>
      </c>
      <c r="K301" s="167">
        <f t="shared" si="118"/>
        <v>0</v>
      </c>
      <c r="L301" s="168">
        <f t="shared" si="111"/>
        <v>0</v>
      </c>
      <c r="M301" s="125"/>
    </row>
    <row r="302" spans="2:13" s="20" customFormat="1" x14ac:dyDescent="0.2">
      <c r="B302" s="362"/>
      <c r="C302" s="363"/>
      <c r="D302" s="363"/>
      <c r="E302" s="23">
        <v>26402004</v>
      </c>
      <c r="F302" s="80" t="s">
        <v>298</v>
      </c>
      <c r="G302" s="129">
        <v>15000</v>
      </c>
      <c r="H302" s="129">
        <v>15000</v>
      </c>
      <c r="I302" s="177">
        <v>2783</v>
      </c>
      <c r="J302" s="129">
        <v>67</v>
      </c>
      <c r="K302" s="167">
        <f t="shared" si="118"/>
        <v>0.18553333333333333</v>
      </c>
      <c r="L302" s="168">
        <f t="shared" si="111"/>
        <v>7.7902810435561529E-5</v>
      </c>
    </row>
    <row r="303" spans="2:13" s="20" customFormat="1" x14ac:dyDescent="0.2">
      <c r="B303" s="362"/>
      <c r="C303" s="363"/>
      <c r="D303" s="363"/>
      <c r="E303" s="23">
        <v>26602001</v>
      </c>
      <c r="F303" s="80" t="s">
        <v>12</v>
      </c>
      <c r="G303" s="129">
        <v>150000</v>
      </c>
      <c r="H303" s="129">
        <v>225000</v>
      </c>
      <c r="I303" s="177">
        <v>154666</v>
      </c>
      <c r="J303" s="129">
        <v>57034</v>
      </c>
      <c r="K303" s="167">
        <f t="shared" si="118"/>
        <v>0.68740444444444448</v>
      </c>
      <c r="L303" s="168">
        <f t="shared" si="111"/>
        <v>4.3294703840555367E-3</v>
      </c>
    </row>
    <row r="304" spans="2:13" s="20" customFormat="1" x14ac:dyDescent="0.2">
      <c r="B304" s="362"/>
      <c r="C304" s="363"/>
      <c r="D304" s="363"/>
      <c r="E304" s="23">
        <v>26602004</v>
      </c>
      <c r="F304" s="80" t="s">
        <v>462</v>
      </c>
      <c r="G304" s="129">
        <v>10000</v>
      </c>
      <c r="H304" s="129">
        <v>10000</v>
      </c>
      <c r="I304" s="177">
        <v>4284.6499999999996</v>
      </c>
      <c r="J304" s="129">
        <v>0</v>
      </c>
      <c r="K304" s="167">
        <f t="shared" si="118"/>
        <v>0.42846499999999998</v>
      </c>
      <c r="L304" s="168">
        <f t="shared" si="111"/>
        <v>1.1993757697906168E-4</v>
      </c>
    </row>
    <row r="305" spans="2:12" s="20" customFormat="1" x14ac:dyDescent="0.2">
      <c r="B305" s="362"/>
      <c r="C305" s="363"/>
      <c r="D305" s="363"/>
      <c r="E305" s="23">
        <v>26602005</v>
      </c>
      <c r="F305" s="80" t="s">
        <v>463</v>
      </c>
      <c r="G305" s="129">
        <v>10000</v>
      </c>
      <c r="H305" s="129">
        <v>10000</v>
      </c>
      <c r="I305" s="177"/>
      <c r="J305" s="129">
        <v>0</v>
      </c>
      <c r="K305" s="167">
        <f t="shared" si="118"/>
        <v>0</v>
      </c>
      <c r="L305" s="168">
        <f t="shared" si="111"/>
        <v>0</v>
      </c>
    </row>
    <row r="306" spans="2:12" s="20" customFormat="1" x14ac:dyDescent="0.2">
      <c r="B306" s="362"/>
      <c r="C306" s="363"/>
      <c r="D306" s="363"/>
      <c r="E306" s="23">
        <v>26602006</v>
      </c>
      <c r="F306" s="80" t="s">
        <v>464</v>
      </c>
      <c r="G306" s="129">
        <v>20000</v>
      </c>
      <c r="H306" s="129">
        <v>20000</v>
      </c>
      <c r="I306" s="177">
        <v>800</v>
      </c>
      <c r="J306" s="129">
        <v>0</v>
      </c>
      <c r="K306" s="167">
        <f t="shared" si="118"/>
        <v>0.04</v>
      </c>
      <c r="L306" s="168">
        <f t="shared" si="111"/>
        <v>2.2393908856790954E-5</v>
      </c>
    </row>
    <row r="307" spans="2:12" s="20" customFormat="1" x14ac:dyDescent="0.2">
      <c r="B307" s="362"/>
      <c r="C307" s="363"/>
      <c r="D307" s="363"/>
      <c r="E307" s="23">
        <v>26602007</v>
      </c>
      <c r="F307" s="80" t="s">
        <v>465</v>
      </c>
      <c r="G307" s="129">
        <v>5000</v>
      </c>
      <c r="H307" s="129">
        <v>5000</v>
      </c>
      <c r="I307" s="177">
        <v>2989.65</v>
      </c>
      <c r="J307" s="129">
        <v>0</v>
      </c>
      <c r="K307" s="167">
        <f t="shared" si="118"/>
        <v>0.59793000000000007</v>
      </c>
      <c r="L307" s="168">
        <f t="shared" si="111"/>
        <v>8.3687437017131345E-5</v>
      </c>
    </row>
    <row r="308" spans="2:12" s="20" customFormat="1" x14ac:dyDescent="0.2">
      <c r="B308" s="362"/>
      <c r="C308" s="363"/>
      <c r="D308" s="363"/>
      <c r="E308" s="23">
        <v>26602008</v>
      </c>
      <c r="F308" s="80" t="s">
        <v>487</v>
      </c>
      <c r="G308" s="129">
        <v>30000</v>
      </c>
      <c r="H308" s="129">
        <v>20000</v>
      </c>
      <c r="I308" s="177"/>
      <c r="J308" s="129">
        <v>0</v>
      </c>
      <c r="K308" s="167">
        <f t="shared" si="118"/>
        <v>0</v>
      </c>
      <c r="L308" s="168">
        <f t="shared" si="111"/>
        <v>0</v>
      </c>
    </row>
    <row r="309" spans="2:12" s="20" customFormat="1" x14ac:dyDescent="0.2">
      <c r="B309" s="362"/>
      <c r="C309" s="363"/>
      <c r="D309" s="363"/>
      <c r="E309" s="330" t="s">
        <v>336</v>
      </c>
      <c r="F309" s="330"/>
      <c r="G309" s="52">
        <f>SUM(G299:G308)</f>
        <v>320000</v>
      </c>
      <c r="H309" s="52">
        <f t="shared" ref="H309:J309" si="127">SUM(H299:H308)</f>
        <v>385000</v>
      </c>
      <c r="I309" s="52">
        <f t="shared" si="127"/>
        <v>165523.29999999999</v>
      </c>
      <c r="J309" s="52">
        <f t="shared" si="127"/>
        <v>57101</v>
      </c>
      <c r="K309" s="167">
        <f t="shared" si="118"/>
        <v>0.42993064935064934</v>
      </c>
      <c r="L309" s="168">
        <f t="shared" si="111"/>
        <v>4.6333921173440824E-3</v>
      </c>
    </row>
    <row r="310" spans="2:12" s="20" customFormat="1" x14ac:dyDescent="0.2">
      <c r="B310" s="361" t="s">
        <v>334</v>
      </c>
      <c r="C310" s="361"/>
      <c r="D310" s="361"/>
      <c r="E310" s="361"/>
      <c r="F310" s="361"/>
      <c r="G310" s="49">
        <f t="shared" ref="G310" si="128">G298+G309</f>
        <v>1685575</v>
      </c>
      <c r="H310" s="49">
        <f t="shared" ref="H310:J310" si="129">H298+H309</f>
        <v>1620575</v>
      </c>
      <c r="I310" s="49">
        <f t="shared" si="129"/>
        <v>1198881.5560000001</v>
      </c>
      <c r="J310" s="49">
        <f t="shared" si="129"/>
        <v>57101</v>
      </c>
      <c r="K310" s="167">
        <f t="shared" si="118"/>
        <v>0.73978776421949011</v>
      </c>
      <c r="L310" s="168">
        <f t="shared" si="111"/>
        <v>3.3559555368939654E-2</v>
      </c>
    </row>
    <row r="311" spans="2:12" s="20" customFormat="1" x14ac:dyDescent="0.2">
      <c r="B311" s="362" t="s">
        <v>778</v>
      </c>
      <c r="C311" s="363">
        <v>57</v>
      </c>
      <c r="D311" s="363">
        <v>0</v>
      </c>
      <c r="E311" s="13">
        <v>20103001</v>
      </c>
      <c r="F311" s="40" t="s">
        <v>331</v>
      </c>
      <c r="G311" s="129">
        <v>510000</v>
      </c>
      <c r="H311" s="129">
        <v>402000</v>
      </c>
      <c r="I311" s="177">
        <v>385085.147</v>
      </c>
      <c r="J311" s="129">
        <v>0</v>
      </c>
      <c r="K311" s="167">
        <f t="shared" si="118"/>
        <v>0.95792325124378108</v>
      </c>
      <c r="L311" s="168">
        <f t="shared" si="111"/>
        <v>1.0779452105027433E-2</v>
      </c>
    </row>
    <row r="312" spans="2:12" s="20" customFormat="1" x14ac:dyDescent="0.2">
      <c r="B312" s="362"/>
      <c r="C312" s="363"/>
      <c r="D312" s="363"/>
      <c r="E312" s="13">
        <v>20117003</v>
      </c>
      <c r="F312" s="40" t="s">
        <v>32</v>
      </c>
      <c r="G312" s="129">
        <v>5000</v>
      </c>
      <c r="H312" s="129">
        <v>25000</v>
      </c>
      <c r="I312" s="177">
        <v>17793</v>
      </c>
      <c r="J312" s="129">
        <v>0</v>
      </c>
      <c r="K312" s="167">
        <f t="shared" si="118"/>
        <v>0.71172000000000002</v>
      </c>
      <c r="L312" s="168">
        <f t="shared" si="111"/>
        <v>4.9806852536110179E-4</v>
      </c>
    </row>
    <row r="313" spans="2:12" s="20" customFormat="1" x14ac:dyDescent="0.2">
      <c r="B313" s="362"/>
      <c r="C313" s="363"/>
      <c r="D313" s="363"/>
      <c r="E313" s="13">
        <v>21604001</v>
      </c>
      <c r="F313" s="40" t="s">
        <v>466</v>
      </c>
      <c r="G313" s="129">
        <v>50000</v>
      </c>
      <c r="H313" s="129">
        <v>30000</v>
      </c>
      <c r="I313" s="177">
        <v>21967.065999999999</v>
      </c>
      <c r="J313" s="129">
        <v>4967.25</v>
      </c>
      <c r="K313" s="167">
        <f t="shared" si="118"/>
        <v>0.73223553333333324</v>
      </c>
      <c r="L313" s="168">
        <f t="shared" si="111"/>
        <v>6.1491059231888923E-4</v>
      </c>
    </row>
    <row r="314" spans="2:12" s="20" customFormat="1" x14ac:dyDescent="0.2">
      <c r="B314" s="362"/>
      <c r="C314" s="363"/>
      <c r="D314" s="363"/>
      <c r="E314" s="13">
        <v>21604002</v>
      </c>
      <c r="F314" s="40" t="s">
        <v>467</v>
      </c>
      <c r="G314" s="129">
        <v>60000</v>
      </c>
      <c r="H314" s="129">
        <v>40000</v>
      </c>
      <c r="I314" s="177">
        <v>6936.63</v>
      </c>
      <c r="J314" s="129">
        <v>7280.4750000000004</v>
      </c>
      <c r="K314" s="167">
        <f t="shared" si="118"/>
        <v>0.17341575000000001</v>
      </c>
      <c r="L314" s="168">
        <f t="shared" si="111"/>
        <v>1.9417282499160229E-4</v>
      </c>
    </row>
    <row r="315" spans="2:12" s="20" customFormat="1" x14ac:dyDescent="0.2">
      <c r="B315" s="362"/>
      <c r="C315" s="363"/>
      <c r="D315" s="363"/>
      <c r="E315" s="13">
        <v>21604017</v>
      </c>
      <c r="F315" s="40" t="s">
        <v>479</v>
      </c>
      <c r="G315" s="129">
        <v>100000</v>
      </c>
      <c r="H315" s="129">
        <v>140000</v>
      </c>
      <c r="I315" s="177">
        <v>4860.0330000000004</v>
      </c>
      <c r="J315" s="129">
        <v>135139.967</v>
      </c>
      <c r="K315" s="167">
        <f t="shared" si="118"/>
        <v>3.4714521428571433E-2</v>
      </c>
      <c r="L315" s="168">
        <f t="shared" si="111"/>
        <v>1.360439200537454E-4</v>
      </c>
    </row>
    <row r="316" spans="2:12" s="20" customFormat="1" x14ac:dyDescent="0.2">
      <c r="B316" s="362"/>
      <c r="C316" s="363"/>
      <c r="D316" s="363"/>
      <c r="E316" s="13">
        <v>23603002</v>
      </c>
      <c r="F316" s="40" t="s">
        <v>63</v>
      </c>
      <c r="G316" s="129">
        <v>75</v>
      </c>
      <c r="H316" s="129">
        <v>75</v>
      </c>
      <c r="I316" s="177">
        <v>69.150000000000006</v>
      </c>
      <c r="J316" s="129">
        <v>0</v>
      </c>
      <c r="K316" s="167">
        <f t="shared" si="118"/>
        <v>0.92200000000000004</v>
      </c>
      <c r="L316" s="168">
        <f t="shared" si="111"/>
        <v>1.9356734968088681E-6</v>
      </c>
    </row>
    <row r="317" spans="2:12" s="20" customFormat="1" x14ac:dyDescent="0.2">
      <c r="B317" s="362"/>
      <c r="C317" s="363"/>
      <c r="D317" s="363"/>
      <c r="E317" s="13">
        <v>23604004</v>
      </c>
      <c r="F317" s="40" t="s">
        <v>425</v>
      </c>
      <c r="G317" s="129">
        <v>2000</v>
      </c>
      <c r="H317" s="129">
        <v>2000</v>
      </c>
      <c r="I317" s="177">
        <v>1081.5</v>
      </c>
      <c r="J317" s="129">
        <v>0</v>
      </c>
      <c r="K317" s="167">
        <f t="shared" si="118"/>
        <v>0.54074999999999995</v>
      </c>
      <c r="L317" s="168">
        <f t="shared" si="111"/>
        <v>3.0273765535774271E-5</v>
      </c>
    </row>
    <row r="318" spans="2:12" s="20" customFormat="1" x14ac:dyDescent="0.2">
      <c r="B318" s="362"/>
      <c r="C318" s="363"/>
      <c r="D318" s="363"/>
      <c r="E318" s="364" t="s">
        <v>333</v>
      </c>
      <c r="F318" s="364"/>
      <c r="G318" s="62">
        <f>SUM(G311:G317)</f>
        <v>727075</v>
      </c>
      <c r="H318" s="62">
        <f t="shared" ref="H318:J318" si="130">SUM(H311:H317)</f>
        <v>639075</v>
      </c>
      <c r="I318" s="62">
        <f t="shared" si="130"/>
        <v>437792.52600000001</v>
      </c>
      <c r="J318" s="62">
        <f t="shared" si="130"/>
        <v>147387.69200000001</v>
      </c>
      <c r="K318" s="167">
        <f t="shared" si="118"/>
        <v>0.68504092007980288</v>
      </c>
      <c r="L318" s="168">
        <f t="shared" si="111"/>
        <v>1.2254857406785355E-2</v>
      </c>
    </row>
    <row r="319" spans="2:12" s="20" customFormat="1" x14ac:dyDescent="0.2">
      <c r="B319" s="362"/>
      <c r="C319" s="363"/>
      <c r="D319" s="363"/>
      <c r="E319" s="23">
        <v>26402001</v>
      </c>
      <c r="F319" s="80" t="s">
        <v>781</v>
      </c>
      <c r="G319" s="129">
        <v>10000</v>
      </c>
      <c r="H319" s="129">
        <v>10000</v>
      </c>
      <c r="I319" s="177"/>
      <c r="J319" s="129">
        <v>0</v>
      </c>
      <c r="K319" s="167">
        <f t="shared" si="118"/>
        <v>0</v>
      </c>
      <c r="L319" s="168">
        <f t="shared" si="111"/>
        <v>0</v>
      </c>
    </row>
    <row r="320" spans="2:12" s="20" customFormat="1" x14ac:dyDescent="0.2">
      <c r="B320" s="362"/>
      <c r="C320" s="363"/>
      <c r="D320" s="363"/>
      <c r="E320" s="23">
        <v>26404001</v>
      </c>
      <c r="F320" s="80" t="s">
        <v>780</v>
      </c>
      <c r="G320" s="129">
        <v>20000</v>
      </c>
      <c r="H320" s="129">
        <v>20000</v>
      </c>
      <c r="I320" s="177"/>
      <c r="J320" s="129">
        <v>4680</v>
      </c>
      <c r="K320" s="167">
        <f t="shared" si="118"/>
        <v>0</v>
      </c>
      <c r="L320" s="168">
        <f t="shared" si="111"/>
        <v>0</v>
      </c>
    </row>
    <row r="321" spans="2:12" s="20" customFormat="1" x14ac:dyDescent="0.2">
      <c r="B321" s="362"/>
      <c r="C321" s="363"/>
      <c r="D321" s="363"/>
      <c r="E321" s="23">
        <v>26501001</v>
      </c>
      <c r="F321" s="80" t="s">
        <v>10</v>
      </c>
      <c r="G321" s="129">
        <v>150000</v>
      </c>
      <c r="H321" s="129">
        <v>150000</v>
      </c>
      <c r="I321" s="177"/>
      <c r="J321" s="129">
        <v>120879.181</v>
      </c>
      <c r="K321" s="167">
        <f t="shared" si="118"/>
        <v>0</v>
      </c>
      <c r="L321" s="168">
        <f t="shared" si="111"/>
        <v>0</v>
      </c>
    </row>
    <row r="322" spans="2:12" s="20" customFormat="1" x14ac:dyDescent="0.2">
      <c r="B322" s="362"/>
      <c r="C322" s="363"/>
      <c r="D322" s="363"/>
      <c r="E322" s="23">
        <v>26501002</v>
      </c>
      <c r="F322" s="80" t="s">
        <v>11</v>
      </c>
      <c r="G322" s="129">
        <v>150000</v>
      </c>
      <c r="H322" s="129">
        <v>150000</v>
      </c>
      <c r="I322" s="177"/>
      <c r="J322" s="129">
        <v>2381.0070000000001</v>
      </c>
      <c r="K322" s="167">
        <f t="shared" si="118"/>
        <v>0</v>
      </c>
      <c r="L322" s="168">
        <f t="shared" si="111"/>
        <v>0</v>
      </c>
    </row>
    <row r="323" spans="2:12" s="20" customFormat="1" x14ac:dyDescent="0.2">
      <c r="B323" s="362"/>
      <c r="C323" s="363"/>
      <c r="D323" s="363"/>
      <c r="E323" s="23">
        <v>26505001</v>
      </c>
      <c r="F323" s="80" t="s">
        <v>468</v>
      </c>
      <c r="G323" s="129">
        <v>15000</v>
      </c>
      <c r="H323" s="129">
        <v>15000</v>
      </c>
      <c r="I323" s="177">
        <v>603.20000000000005</v>
      </c>
      <c r="J323" s="129">
        <v>7000</v>
      </c>
      <c r="K323" s="167">
        <f t="shared" si="118"/>
        <v>4.0213333333333337E-2</v>
      </c>
      <c r="L323" s="168">
        <f t="shared" si="111"/>
        <v>1.6885007278020378E-5</v>
      </c>
    </row>
    <row r="324" spans="2:12" s="20" customFormat="1" x14ac:dyDescent="0.2">
      <c r="B324" s="362"/>
      <c r="C324" s="363"/>
      <c r="D324" s="363"/>
      <c r="E324" s="23">
        <v>26601068</v>
      </c>
      <c r="F324" s="80" t="s">
        <v>430</v>
      </c>
      <c r="G324" s="129">
        <v>50000</v>
      </c>
      <c r="H324" s="129">
        <v>10000</v>
      </c>
      <c r="I324" s="177"/>
      <c r="J324" s="129">
        <v>0</v>
      </c>
      <c r="K324" s="167">
        <f t="shared" si="118"/>
        <v>0</v>
      </c>
      <c r="L324" s="168">
        <f t="shared" ref="L324:L387" si="131">IFERROR(I324/$H$438,"")</f>
        <v>0</v>
      </c>
    </row>
    <row r="325" spans="2:12" s="20" customFormat="1" x14ac:dyDescent="0.2">
      <c r="B325" s="362"/>
      <c r="C325" s="363"/>
      <c r="D325" s="363"/>
      <c r="E325" s="23">
        <v>26603002</v>
      </c>
      <c r="F325" s="80" t="s">
        <v>469</v>
      </c>
      <c r="G325" s="129">
        <v>40000</v>
      </c>
      <c r="H325" s="129">
        <v>15000</v>
      </c>
      <c r="I325" s="177"/>
      <c r="J325" s="129">
        <v>0</v>
      </c>
      <c r="K325" s="167">
        <f t="shared" si="118"/>
        <v>0</v>
      </c>
      <c r="L325" s="168">
        <f t="shared" si="131"/>
        <v>0</v>
      </c>
    </row>
    <row r="326" spans="2:12" s="20" customFormat="1" x14ac:dyDescent="0.2">
      <c r="B326" s="362"/>
      <c r="C326" s="363"/>
      <c r="D326" s="363"/>
      <c r="E326" s="330" t="s">
        <v>336</v>
      </c>
      <c r="F326" s="330"/>
      <c r="G326" s="52">
        <f>SUM(G319:G325)</f>
        <v>435000</v>
      </c>
      <c r="H326" s="52">
        <f>SUM(H319:H325)</f>
        <v>370000</v>
      </c>
      <c r="I326" s="52">
        <f>SUM(I319:I325)</f>
        <v>603.20000000000005</v>
      </c>
      <c r="J326" s="52">
        <f>SUM(J319:J325)</f>
        <v>134940.18799999999</v>
      </c>
      <c r="K326" s="167">
        <f t="shared" si="118"/>
        <v>1.6302702702702704E-3</v>
      </c>
      <c r="L326" s="168">
        <f t="shared" si="131"/>
        <v>1.6885007278020378E-5</v>
      </c>
    </row>
    <row r="327" spans="2:12" s="20" customFormat="1" x14ac:dyDescent="0.2">
      <c r="B327" s="361" t="s">
        <v>334</v>
      </c>
      <c r="C327" s="361"/>
      <c r="D327" s="361"/>
      <c r="E327" s="361"/>
      <c r="F327" s="361"/>
      <c r="G327" s="49">
        <f>G318+G326</f>
        <v>1162075</v>
      </c>
      <c r="H327" s="49">
        <f>H318+H326</f>
        <v>1009075</v>
      </c>
      <c r="I327" s="49">
        <f>I318+I326</f>
        <v>438395.72600000002</v>
      </c>
      <c r="J327" s="49">
        <f>J318+J326</f>
        <v>282327.88</v>
      </c>
      <c r="K327" s="167">
        <f t="shared" si="118"/>
        <v>0.43445306444020515</v>
      </c>
      <c r="L327" s="168">
        <f t="shared" si="131"/>
        <v>1.2271742414063376E-2</v>
      </c>
    </row>
    <row r="328" spans="2:12" s="20" customFormat="1" x14ac:dyDescent="0.2">
      <c r="B328" s="362" t="s">
        <v>370</v>
      </c>
      <c r="C328" s="363">
        <v>59</v>
      </c>
      <c r="D328" s="363">
        <v>0</v>
      </c>
      <c r="E328" s="13">
        <v>20101001</v>
      </c>
      <c r="F328" s="40" t="s">
        <v>15</v>
      </c>
      <c r="G328" s="129">
        <v>48000</v>
      </c>
      <c r="H328" s="129">
        <v>48000</v>
      </c>
      <c r="I328" s="177">
        <v>41289.599999999999</v>
      </c>
      <c r="J328" s="129">
        <v>0</v>
      </c>
      <c r="K328" s="167">
        <f t="shared" si="118"/>
        <v>0.86019999999999996</v>
      </c>
      <c r="L328" s="168">
        <f t="shared" si="131"/>
        <v>1.1557944239166946E-3</v>
      </c>
    </row>
    <row r="329" spans="2:12" s="20" customFormat="1" x14ac:dyDescent="0.2">
      <c r="B329" s="362"/>
      <c r="C329" s="363"/>
      <c r="D329" s="363"/>
      <c r="E329" s="13">
        <v>20103001</v>
      </c>
      <c r="F329" s="40" t="s">
        <v>331</v>
      </c>
      <c r="G329" s="129">
        <v>48000</v>
      </c>
      <c r="H329" s="129">
        <v>48000</v>
      </c>
      <c r="I329" s="177">
        <v>42821.438999999998</v>
      </c>
      <c r="J329" s="129">
        <v>0</v>
      </c>
      <c r="K329" s="167">
        <f t="shared" si="118"/>
        <v>0.89211331249999992</v>
      </c>
      <c r="L329" s="168">
        <f t="shared" si="131"/>
        <v>1.1986742526032918E-3</v>
      </c>
    </row>
    <row r="330" spans="2:12" s="20" customFormat="1" x14ac:dyDescent="0.2">
      <c r="B330" s="362"/>
      <c r="C330" s="363"/>
      <c r="D330" s="363"/>
      <c r="E330" s="13">
        <v>23603002</v>
      </c>
      <c r="F330" s="40" t="s">
        <v>63</v>
      </c>
      <c r="G330" s="129">
        <v>75</v>
      </c>
      <c r="H330" s="129">
        <v>75</v>
      </c>
      <c r="I330" s="177">
        <v>75</v>
      </c>
      <c r="J330" s="129">
        <v>0</v>
      </c>
      <c r="K330" s="167">
        <f t="shared" si="118"/>
        <v>1</v>
      </c>
      <c r="L330" s="168">
        <f t="shared" si="131"/>
        <v>2.0994289553241517E-6</v>
      </c>
    </row>
    <row r="331" spans="2:12" s="20" customFormat="1" x14ac:dyDescent="0.2">
      <c r="B331" s="362"/>
      <c r="C331" s="363"/>
      <c r="D331" s="363"/>
      <c r="E331" s="364" t="s">
        <v>333</v>
      </c>
      <c r="F331" s="364"/>
      <c r="G331" s="62">
        <f>SUM(G328:G330)</f>
        <v>96075</v>
      </c>
      <c r="H331" s="62">
        <f t="shared" ref="H331:J331" si="132">SUM(H328:H330)</f>
        <v>96075</v>
      </c>
      <c r="I331" s="62">
        <f t="shared" si="132"/>
        <v>84186.03899999999</v>
      </c>
      <c r="J331" s="62">
        <f t="shared" si="132"/>
        <v>0</v>
      </c>
      <c r="K331" s="167">
        <f t="shared" si="118"/>
        <v>0.87625333333333322</v>
      </c>
      <c r="L331" s="168">
        <f t="shared" si="131"/>
        <v>2.3565681054753106E-3</v>
      </c>
    </row>
    <row r="332" spans="2:12" s="20" customFormat="1" x14ac:dyDescent="0.2">
      <c r="B332" s="361" t="s">
        <v>334</v>
      </c>
      <c r="C332" s="361"/>
      <c r="D332" s="361"/>
      <c r="E332" s="361"/>
      <c r="F332" s="361"/>
      <c r="G332" s="49">
        <f>SUM(G331)</f>
        <v>96075</v>
      </c>
      <c r="H332" s="49">
        <f t="shared" ref="H332:J332" si="133">SUM(H331)</f>
        <v>96075</v>
      </c>
      <c r="I332" s="49">
        <f t="shared" si="133"/>
        <v>84186.03899999999</v>
      </c>
      <c r="J332" s="49">
        <f t="shared" si="133"/>
        <v>0</v>
      </c>
      <c r="K332" s="167">
        <f t="shared" si="118"/>
        <v>0.87625333333333322</v>
      </c>
      <c r="L332" s="168">
        <f t="shared" si="131"/>
        <v>2.3565681054753106E-3</v>
      </c>
    </row>
    <row r="333" spans="2:12" s="20" customFormat="1" x14ac:dyDescent="0.2">
      <c r="B333" s="362" t="s">
        <v>678</v>
      </c>
      <c r="C333" s="363">
        <v>60</v>
      </c>
      <c r="D333" s="363">
        <v>0</v>
      </c>
      <c r="E333" s="13">
        <v>20103001</v>
      </c>
      <c r="F333" s="40" t="s">
        <v>331</v>
      </c>
      <c r="G333" s="129">
        <v>75000</v>
      </c>
      <c r="H333" s="129">
        <v>75000</v>
      </c>
      <c r="I333" s="177">
        <v>66841.002999999997</v>
      </c>
      <c r="J333" s="129">
        <v>0</v>
      </c>
      <c r="K333" s="167">
        <f t="shared" si="118"/>
        <v>0.89121337333333328</v>
      </c>
      <c r="L333" s="168">
        <f t="shared" si="131"/>
        <v>1.8710391613481132E-3</v>
      </c>
    </row>
    <row r="334" spans="2:12" s="20" customFormat="1" x14ac:dyDescent="0.2">
      <c r="B334" s="362"/>
      <c r="C334" s="363"/>
      <c r="D334" s="363"/>
      <c r="E334" s="13">
        <v>23603002</v>
      </c>
      <c r="F334" s="40" t="s">
        <v>63</v>
      </c>
      <c r="G334" s="129">
        <v>500</v>
      </c>
      <c r="H334" s="129">
        <v>500</v>
      </c>
      <c r="I334" s="177">
        <v>489.26</v>
      </c>
      <c r="J334" s="129">
        <v>0</v>
      </c>
      <c r="K334" s="167">
        <f t="shared" ref="K334:K384" si="134">IFERROR(I334/H334,"")</f>
        <v>0.97851999999999995</v>
      </c>
      <c r="L334" s="168">
        <f t="shared" si="131"/>
        <v>1.3695554809091926E-5</v>
      </c>
    </row>
    <row r="335" spans="2:12" s="20" customFormat="1" x14ac:dyDescent="0.2">
      <c r="B335" s="362"/>
      <c r="C335" s="363"/>
      <c r="D335" s="363"/>
      <c r="E335" s="364" t="s">
        <v>333</v>
      </c>
      <c r="F335" s="364"/>
      <c r="G335" s="62">
        <f t="shared" ref="G335" si="135">SUM(G333:G334)</f>
        <v>75500</v>
      </c>
      <c r="H335" s="62">
        <f t="shared" ref="H335:J335" si="136">SUM(H333:H334)</f>
        <v>75500</v>
      </c>
      <c r="I335" s="62">
        <f t="shared" si="136"/>
        <v>67330.262999999992</v>
      </c>
      <c r="J335" s="62">
        <f t="shared" si="136"/>
        <v>0</v>
      </c>
      <c r="K335" s="167">
        <f t="shared" si="134"/>
        <v>0.89179156291390715</v>
      </c>
      <c r="L335" s="168">
        <f t="shared" si="131"/>
        <v>1.884734716157205E-3</v>
      </c>
    </row>
    <row r="336" spans="2:12" s="20" customFormat="1" x14ac:dyDescent="0.2">
      <c r="B336" s="361" t="s">
        <v>334</v>
      </c>
      <c r="C336" s="361"/>
      <c r="D336" s="361"/>
      <c r="E336" s="361"/>
      <c r="F336" s="361"/>
      <c r="G336" s="49">
        <f t="shared" ref="G336" si="137">G335</f>
        <v>75500</v>
      </c>
      <c r="H336" s="49">
        <f t="shared" ref="H336:J336" si="138">H335</f>
        <v>75500</v>
      </c>
      <c r="I336" s="49">
        <f t="shared" si="138"/>
        <v>67330.262999999992</v>
      </c>
      <c r="J336" s="49">
        <f t="shared" si="138"/>
        <v>0</v>
      </c>
      <c r="K336" s="167">
        <f t="shared" si="134"/>
        <v>0.89179156291390715</v>
      </c>
      <c r="L336" s="168">
        <f t="shared" si="131"/>
        <v>1.884734716157205E-3</v>
      </c>
    </row>
    <row r="337" spans="2:12" s="20" customFormat="1" x14ac:dyDescent="0.2">
      <c r="B337" s="362" t="s">
        <v>371</v>
      </c>
      <c r="C337" s="363">
        <v>61</v>
      </c>
      <c r="D337" s="363">
        <v>0</v>
      </c>
      <c r="E337" s="13">
        <v>20103001</v>
      </c>
      <c r="F337" s="40" t="s">
        <v>331</v>
      </c>
      <c r="G337" s="129">
        <v>70000</v>
      </c>
      <c r="H337" s="129">
        <v>70000</v>
      </c>
      <c r="I337" s="177">
        <v>65658.149000000005</v>
      </c>
      <c r="J337" s="129">
        <v>0</v>
      </c>
      <c r="K337" s="167">
        <f t="shared" si="134"/>
        <v>0.93797355714285724</v>
      </c>
      <c r="L337" s="168">
        <f t="shared" si="131"/>
        <v>1.8379282555145001E-3</v>
      </c>
    </row>
    <row r="338" spans="2:12" s="20" customFormat="1" x14ac:dyDescent="0.2">
      <c r="B338" s="362"/>
      <c r="C338" s="363"/>
      <c r="D338" s="363"/>
      <c r="E338" s="13">
        <v>23603002</v>
      </c>
      <c r="F338" s="40" t="s">
        <v>63</v>
      </c>
      <c r="G338" s="129">
        <v>75</v>
      </c>
      <c r="H338" s="129">
        <v>75</v>
      </c>
      <c r="I338" s="177">
        <v>71</v>
      </c>
      <c r="J338" s="129">
        <v>0</v>
      </c>
      <c r="K338" s="167">
        <f t="shared" si="134"/>
        <v>0.94666666666666666</v>
      </c>
      <c r="L338" s="168">
        <f t="shared" si="131"/>
        <v>1.9874594110401971E-6</v>
      </c>
    </row>
    <row r="339" spans="2:12" s="20" customFormat="1" x14ac:dyDescent="0.2">
      <c r="B339" s="362"/>
      <c r="C339" s="363"/>
      <c r="D339" s="363"/>
      <c r="E339" s="364" t="s">
        <v>333</v>
      </c>
      <c r="F339" s="364"/>
      <c r="G339" s="62">
        <f>SUM(G337:G338)</f>
        <v>70075</v>
      </c>
      <c r="H339" s="62">
        <f t="shared" ref="H339:J339" si="139">SUM(H337:H338)</f>
        <v>70075</v>
      </c>
      <c r="I339" s="62">
        <f t="shared" si="139"/>
        <v>65729.149000000005</v>
      </c>
      <c r="J339" s="62">
        <f t="shared" si="139"/>
        <v>0</v>
      </c>
      <c r="K339" s="167">
        <f t="shared" si="134"/>
        <v>0.93798286122012142</v>
      </c>
      <c r="L339" s="168">
        <f t="shared" si="131"/>
        <v>1.8399157149255403E-3</v>
      </c>
    </row>
    <row r="340" spans="2:12" s="20" customFormat="1" x14ac:dyDescent="0.2">
      <c r="B340" s="361" t="s">
        <v>334</v>
      </c>
      <c r="C340" s="361"/>
      <c r="D340" s="361"/>
      <c r="E340" s="361"/>
      <c r="F340" s="361"/>
      <c r="G340" s="49">
        <f>G339</f>
        <v>70075</v>
      </c>
      <c r="H340" s="49">
        <f t="shared" ref="H340:J340" si="140">H339</f>
        <v>70075</v>
      </c>
      <c r="I340" s="49">
        <f t="shared" si="140"/>
        <v>65729.149000000005</v>
      </c>
      <c r="J340" s="49">
        <f t="shared" si="140"/>
        <v>0</v>
      </c>
      <c r="K340" s="167">
        <f t="shared" si="134"/>
        <v>0.93798286122012142</v>
      </c>
      <c r="L340" s="168">
        <f t="shared" si="131"/>
        <v>1.8399157149255403E-3</v>
      </c>
    </row>
    <row r="341" spans="2:12" s="20" customFormat="1" x14ac:dyDescent="0.2">
      <c r="B341" s="386" t="s">
        <v>398</v>
      </c>
      <c r="C341" s="363">
        <v>62</v>
      </c>
      <c r="D341" s="363">
        <v>0</v>
      </c>
      <c r="E341" s="13">
        <v>20103001</v>
      </c>
      <c r="F341" s="40" t="s">
        <v>331</v>
      </c>
      <c r="G341" s="129">
        <v>55000</v>
      </c>
      <c r="H341" s="129">
        <v>55000</v>
      </c>
      <c r="I341" s="177">
        <v>31982.936000000002</v>
      </c>
      <c r="J341" s="129">
        <v>0</v>
      </c>
      <c r="K341" s="167">
        <f t="shared" si="134"/>
        <v>0.58150792727272727</v>
      </c>
      <c r="L341" s="168">
        <f t="shared" si="131"/>
        <v>8.9527869219572283E-4</v>
      </c>
    </row>
    <row r="342" spans="2:12" s="20" customFormat="1" x14ac:dyDescent="0.2">
      <c r="B342" s="387"/>
      <c r="C342" s="363"/>
      <c r="D342" s="363"/>
      <c r="E342" s="13">
        <v>22608001</v>
      </c>
      <c r="F342" s="40" t="s">
        <v>51</v>
      </c>
      <c r="G342" s="129">
        <v>90000</v>
      </c>
      <c r="H342" s="129">
        <v>90000</v>
      </c>
      <c r="I342" s="177">
        <v>28000</v>
      </c>
      <c r="J342" s="129">
        <v>0</v>
      </c>
      <c r="K342" s="167">
        <f t="shared" si="134"/>
        <v>0.31111111111111112</v>
      </c>
      <c r="L342" s="168">
        <f t="shared" si="131"/>
        <v>7.8378680998768334E-4</v>
      </c>
    </row>
    <row r="343" spans="2:12" s="20" customFormat="1" x14ac:dyDescent="0.2">
      <c r="B343" s="387"/>
      <c r="C343" s="363"/>
      <c r="D343" s="363"/>
      <c r="E343" s="13">
        <v>23603002</v>
      </c>
      <c r="F343" s="40" t="s">
        <v>63</v>
      </c>
      <c r="G343" s="129">
        <v>75</v>
      </c>
      <c r="H343" s="129">
        <v>75</v>
      </c>
      <c r="I343" s="177"/>
      <c r="J343" s="129">
        <v>0</v>
      </c>
      <c r="K343" s="167">
        <f t="shared" si="134"/>
        <v>0</v>
      </c>
      <c r="L343" s="168">
        <f t="shared" si="131"/>
        <v>0</v>
      </c>
    </row>
    <row r="344" spans="2:12" s="20" customFormat="1" x14ac:dyDescent="0.2">
      <c r="B344" s="387"/>
      <c r="C344" s="363"/>
      <c r="D344" s="363"/>
      <c r="E344" s="364" t="s">
        <v>333</v>
      </c>
      <c r="F344" s="364"/>
      <c r="G344" s="62">
        <f>SUM(G341:G343)</f>
        <v>145075</v>
      </c>
      <c r="H344" s="62">
        <f t="shared" ref="H344:J344" si="141">SUM(H341:H343)</f>
        <v>145075</v>
      </c>
      <c r="I344" s="62">
        <f t="shared" si="141"/>
        <v>59982.936000000002</v>
      </c>
      <c r="J344" s="62">
        <f t="shared" si="141"/>
        <v>0</v>
      </c>
      <c r="K344" s="167">
        <f t="shared" si="134"/>
        <v>0.41346156126141653</v>
      </c>
      <c r="L344" s="168">
        <f t="shared" si="131"/>
        <v>1.6790655021834062E-3</v>
      </c>
    </row>
    <row r="345" spans="2:12" s="20" customFormat="1" x14ac:dyDescent="0.2">
      <c r="B345" s="361" t="s">
        <v>334</v>
      </c>
      <c r="C345" s="361"/>
      <c r="D345" s="361"/>
      <c r="E345" s="361"/>
      <c r="F345" s="361"/>
      <c r="G345" s="49">
        <f t="shared" ref="G345" si="142">G344</f>
        <v>145075</v>
      </c>
      <c r="H345" s="49">
        <f t="shared" ref="H345:J345" si="143">H344</f>
        <v>145075</v>
      </c>
      <c r="I345" s="49">
        <f t="shared" si="143"/>
        <v>59982.936000000002</v>
      </c>
      <c r="J345" s="49">
        <f t="shared" si="143"/>
        <v>0</v>
      </c>
      <c r="K345" s="167">
        <f t="shared" si="134"/>
        <v>0.41346156126141653</v>
      </c>
      <c r="L345" s="168">
        <f t="shared" si="131"/>
        <v>1.6790655021834062E-3</v>
      </c>
    </row>
    <row r="346" spans="2:12" s="20" customFormat="1" x14ac:dyDescent="0.2">
      <c r="B346" s="386" t="s">
        <v>372</v>
      </c>
      <c r="C346" s="363">
        <v>63</v>
      </c>
      <c r="D346" s="363">
        <v>0</v>
      </c>
      <c r="E346" s="13">
        <v>20103001</v>
      </c>
      <c r="F346" s="40" t="s">
        <v>331</v>
      </c>
      <c r="G346" s="129">
        <v>200000</v>
      </c>
      <c r="H346" s="129">
        <v>200000</v>
      </c>
      <c r="I346" s="177">
        <v>181408.43599999999</v>
      </c>
      <c r="J346" s="129">
        <v>0</v>
      </c>
      <c r="K346" s="167">
        <f t="shared" si="134"/>
        <v>0.90704217999999992</v>
      </c>
      <c r="L346" s="168">
        <f t="shared" si="131"/>
        <v>5.0780549770462428E-3</v>
      </c>
    </row>
    <row r="347" spans="2:12" s="20" customFormat="1" x14ac:dyDescent="0.2">
      <c r="B347" s="387"/>
      <c r="C347" s="363"/>
      <c r="D347" s="363"/>
      <c r="E347" s="13">
        <v>20117001</v>
      </c>
      <c r="F347" s="40" t="s">
        <v>373</v>
      </c>
      <c r="G347" s="129">
        <v>500000</v>
      </c>
      <c r="H347" s="129">
        <v>500000</v>
      </c>
      <c r="I347" s="177">
        <v>434981.76</v>
      </c>
      <c r="J347" s="129">
        <v>59397.04</v>
      </c>
      <c r="K347" s="167">
        <f t="shared" si="134"/>
        <v>0.86996351999999999</v>
      </c>
      <c r="L347" s="168">
        <f t="shared" si="131"/>
        <v>1.2176177359758147E-2</v>
      </c>
    </row>
    <row r="348" spans="2:12" s="20" customFormat="1" x14ac:dyDescent="0.2">
      <c r="B348" s="387"/>
      <c r="C348" s="363"/>
      <c r="D348" s="363"/>
      <c r="E348" s="13">
        <v>23603002</v>
      </c>
      <c r="F348" s="40" t="s">
        <v>63</v>
      </c>
      <c r="G348" s="129">
        <v>75</v>
      </c>
      <c r="H348" s="129">
        <v>75</v>
      </c>
      <c r="I348" s="177">
        <v>75</v>
      </c>
      <c r="J348" s="129">
        <v>0</v>
      </c>
      <c r="K348" s="167">
        <f t="shared" si="134"/>
        <v>1</v>
      </c>
      <c r="L348" s="168">
        <f t="shared" si="131"/>
        <v>2.0994289553241517E-6</v>
      </c>
    </row>
    <row r="349" spans="2:12" s="20" customFormat="1" x14ac:dyDescent="0.2">
      <c r="B349" s="387"/>
      <c r="C349" s="363"/>
      <c r="D349" s="363"/>
      <c r="E349" s="364" t="s">
        <v>333</v>
      </c>
      <c r="F349" s="364"/>
      <c r="G349" s="62">
        <f>SUM(G346:G348)</f>
        <v>700075</v>
      </c>
      <c r="H349" s="62">
        <f t="shared" ref="H349:J349" si="144">SUM(H346:H348)</f>
        <v>700075</v>
      </c>
      <c r="I349" s="62">
        <f t="shared" si="144"/>
        <v>616465.196</v>
      </c>
      <c r="J349" s="62">
        <f t="shared" si="144"/>
        <v>59397.04</v>
      </c>
      <c r="K349" s="167">
        <f t="shared" si="134"/>
        <v>0.88057021890511733</v>
      </c>
      <c r="L349" s="168">
        <f t="shared" si="131"/>
        <v>1.7256331765759712E-2</v>
      </c>
    </row>
    <row r="350" spans="2:12" s="20" customFormat="1" x14ac:dyDescent="0.2">
      <c r="B350" s="387"/>
      <c r="C350" s="363"/>
      <c r="D350" s="363"/>
      <c r="E350" s="23">
        <v>26402006</v>
      </c>
      <c r="F350" s="80" t="s">
        <v>315</v>
      </c>
      <c r="G350" s="129">
        <v>10000</v>
      </c>
      <c r="H350" s="129">
        <v>10000</v>
      </c>
      <c r="I350" s="177">
        <v>59.9</v>
      </c>
      <c r="J350" s="129">
        <v>2050</v>
      </c>
      <c r="K350" s="167">
        <f t="shared" si="134"/>
        <v>5.9899999999999997E-3</v>
      </c>
      <c r="L350" s="168">
        <f t="shared" si="131"/>
        <v>1.6767439256522225E-6</v>
      </c>
    </row>
    <row r="351" spans="2:12" s="20" customFormat="1" x14ac:dyDescent="0.2">
      <c r="B351" s="388"/>
      <c r="C351" s="363"/>
      <c r="D351" s="363"/>
      <c r="E351" s="330" t="s">
        <v>336</v>
      </c>
      <c r="F351" s="330"/>
      <c r="G351" s="52">
        <f t="shared" ref="G351" si="145">SUM(G350:G350)</f>
        <v>10000</v>
      </c>
      <c r="H351" s="52">
        <f t="shared" ref="H351:J351" si="146">SUM(H350:H350)</f>
        <v>10000</v>
      </c>
      <c r="I351" s="52">
        <f t="shared" si="146"/>
        <v>59.9</v>
      </c>
      <c r="J351" s="52">
        <f t="shared" si="146"/>
        <v>2050</v>
      </c>
      <c r="K351" s="167">
        <f t="shared" si="134"/>
        <v>5.9899999999999997E-3</v>
      </c>
      <c r="L351" s="168">
        <f t="shared" si="131"/>
        <v>1.6767439256522225E-6</v>
      </c>
    </row>
    <row r="352" spans="2:12" s="20" customFormat="1" x14ac:dyDescent="0.2">
      <c r="B352" s="361" t="s">
        <v>334</v>
      </c>
      <c r="C352" s="361"/>
      <c r="D352" s="361"/>
      <c r="E352" s="361"/>
      <c r="F352" s="361"/>
      <c r="G352" s="49">
        <f t="shared" ref="G352" si="147">G349+G351</f>
        <v>710075</v>
      </c>
      <c r="H352" s="49">
        <f t="shared" ref="H352:J352" si="148">H349+H351</f>
        <v>710075</v>
      </c>
      <c r="I352" s="49">
        <f t="shared" si="148"/>
        <v>616525.09600000002</v>
      </c>
      <c r="J352" s="49">
        <f t="shared" si="148"/>
        <v>61447.040000000001</v>
      </c>
      <c r="K352" s="167">
        <f t="shared" si="134"/>
        <v>0.86825348871598074</v>
      </c>
      <c r="L352" s="168">
        <f t="shared" si="131"/>
        <v>1.7258008509685365E-2</v>
      </c>
    </row>
    <row r="353" spans="2:13" s="20" customFormat="1" x14ac:dyDescent="0.2">
      <c r="B353" s="362" t="s">
        <v>374</v>
      </c>
      <c r="C353" s="363">
        <v>66</v>
      </c>
      <c r="D353" s="363">
        <v>0</v>
      </c>
      <c r="E353" s="13">
        <v>20103001</v>
      </c>
      <c r="F353" s="40" t="s">
        <v>331</v>
      </c>
      <c r="G353" s="129">
        <v>60000</v>
      </c>
      <c r="H353" s="129">
        <v>60000</v>
      </c>
      <c r="I353" s="177">
        <v>57460.567000000003</v>
      </c>
      <c r="J353" s="129">
        <v>0</v>
      </c>
      <c r="K353" s="167">
        <f t="shared" si="134"/>
        <v>0.95767611666666674</v>
      </c>
      <c r="L353" s="168">
        <f t="shared" si="131"/>
        <v>1.6084583753219125E-3</v>
      </c>
      <c r="M353" s="109"/>
    </row>
    <row r="354" spans="2:13" s="20" customFormat="1" x14ac:dyDescent="0.2">
      <c r="B354" s="362"/>
      <c r="C354" s="363"/>
      <c r="D354" s="363"/>
      <c r="E354" s="364" t="s">
        <v>333</v>
      </c>
      <c r="F354" s="364"/>
      <c r="G354" s="62">
        <f t="shared" ref="G354" si="149">SUM(G353:G353)</f>
        <v>60000</v>
      </c>
      <c r="H354" s="62">
        <f t="shared" ref="H354:J354" si="150">SUM(H353:H353)</f>
        <v>60000</v>
      </c>
      <c r="I354" s="62">
        <f t="shared" si="150"/>
        <v>57460.567000000003</v>
      </c>
      <c r="J354" s="62">
        <f t="shared" si="150"/>
        <v>0</v>
      </c>
      <c r="K354" s="167">
        <f t="shared" si="134"/>
        <v>0.95767611666666674</v>
      </c>
      <c r="L354" s="168">
        <f t="shared" si="131"/>
        <v>1.6084583753219125E-3</v>
      </c>
    </row>
    <row r="355" spans="2:13" s="20" customFormat="1" x14ac:dyDescent="0.2">
      <c r="B355" s="361" t="s">
        <v>334</v>
      </c>
      <c r="C355" s="361"/>
      <c r="D355" s="361"/>
      <c r="E355" s="361"/>
      <c r="F355" s="361"/>
      <c r="G355" s="49">
        <f t="shared" ref="G355" si="151">G354</f>
        <v>60000</v>
      </c>
      <c r="H355" s="49">
        <f t="shared" ref="H355:J355" si="152">H354</f>
        <v>60000</v>
      </c>
      <c r="I355" s="49">
        <f t="shared" si="152"/>
        <v>57460.567000000003</v>
      </c>
      <c r="J355" s="49">
        <f t="shared" si="152"/>
        <v>0</v>
      </c>
      <c r="K355" s="167">
        <f t="shared" si="134"/>
        <v>0.95767611666666674</v>
      </c>
      <c r="L355" s="168">
        <f t="shared" si="131"/>
        <v>1.6084583753219125E-3</v>
      </c>
    </row>
    <row r="356" spans="2:13" s="20" customFormat="1" x14ac:dyDescent="0.2">
      <c r="B356" s="362" t="s">
        <v>779</v>
      </c>
      <c r="C356" s="363">
        <v>68</v>
      </c>
      <c r="D356" s="363">
        <v>0</v>
      </c>
      <c r="E356" s="13">
        <v>20103001</v>
      </c>
      <c r="F356" s="40" t="s">
        <v>331</v>
      </c>
      <c r="G356" s="129">
        <v>188000</v>
      </c>
      <c r="H356" s="129">
        <v>300500</v>
      </c>
      <c r="I356" s="177">
        <v>291217.00699999998</v>
      </c>
      <c r="J356" s="129">
        <v>0</v>
      </c>
      <c r="K356" s="167">
        <f t="shared" si="134"/>
        <v>0.96910817637271207</v>
      </c>
      <c r="L356" s="168">
        <f t="shared" si="131"/>
        <v>8.1518588903818148E-3</v>
      </c>
    </row>
    <row r="357" spans="2:13" s="20" customFormat="1" x14ac:dyDescent="0.2">
      <c r="B357" s="362"/>
      <c r="C357" s="363"/>
      <c r="D357" s="363"/>
      <c r="E357" s="13">
        <v>23603002</v>
      </c>
      <c r="F357" s="40" t="s">
        <v>63</v>
      </c>
      <c r="G357" s="129">
        <v>75</v>
      </c>
      <c r="H357" s="129">
        <v>75</v>
      </c>
      <c r="I357" s="177">
        <v>49.34</v>
      </c>
      <c r="J357" s="129">
        <v>0</v>
      </c>
      <c r="K357" s="167">
        <f t="shared" si="134"/>
        <v>0.65786666666666671</v>
      </c>
      <c r="L357" s="168">
        <f t="shared" si="131"/>
        <v>1.3811443287425822E-6</v>
      </c>
    </row>
    <row r="358" spans="2:13" s="20" customFormat="1" x14ac:dyDescent="0.2">
      <c r="B358" s="362"/>
      <c r="C358" s="363"/>
      <c r="D358" s="363"/>
      <c r="E358" s="364" t="s">
        <v>333</v>
      </c>
      <c r="F358" s="364"/>
      <c r="G358" s="62">
        <f>SUM(G356:G357)</f>
        <v>188075</v>
      </c>
      <c r="H358" s="62">
        <f>SUM(H356:H357)</f>
        <v>300575</v>
      </c>
      <c r="I358" s="62">
        <f>SUM(I356:I357)</f>
        <v>291266.34700000001</v>
      </c>
      <c r="J358" s="62">
        <f>SUM(J356:J357)</f>
        <v>0</v>
      </c>
      <c r="K358" s="167">
        <f t="shared" si="134"/>
        <v>0.96903051484654412</v>
      </c>
      <c r="L358" s="168">
        <f t="shared" si="131"/>
        <v>8.1532400347105582E-3</v>
      </c>
    </row>
    <row r="359" spans="2:13" s="20" customFormat="1" x14ac:dyDescent="0.2">
      <c r="B359" s="362"/>
      <c r="C359" s="363"/>
      <c r="D359" s="363"/>
      <c r="E359" s="23">
        <v>26402002</v>
      </c>
      <c r="F359" s="80" t="s">
        <v>397</v>
      </c>
      <c r="G359" s="129">
        <v>20000</v>
      </c>
      <c r="H359" s="129">
        <v>20000</v>
      </c>
      <c r="I359" s="177"/>
      <c r="J359" s="129">
        <v>0</v>
      </c>
      <c r="K359" s="167">
        <f t="shared" si="134"/>
        <v>0</v>
      </c>
      <c r="L359" s="168">
        <f t="shared" si="131"/>
        <v>0</v>
      </c>
    </row>
    <row r="360" spans="2:13" s="20" customFormat="1" x14ac:dyDescent="0.2">
      <c r="B360" s="362"/>
      <c r="C360" s="363"/>
      <c r="D360" s="363"/>
      <c r="E360" s="23">
        <v>26404002</v>
      </c>
      <c r="F360" s="80" t="s">
        <v>305</v>
      </c>
      <c r="G360" s="129">
        <v>30000</v>
      </c>
      <c r="H360" s="129">
        <v>30000</v>
      </c>
      <c r="I360" s="177">
        <v>7690.8</v>
      </c>
      <c r="J360" s="129">
        <v>1378</v>
      </c>
      <c r="K360" s="167">
        <f t="shared" si="134"/>
        <v>0.25636000000000003</v>
      </c>
      <c r="L360" s="168">
        <f t="shared" si="131"/>
        <v>2.1528384279475982E-4</v>
      </c>
    </row>
    <row r="361" spans="2:13" s="20" customFormat="1" x14ac:dyDescent="0.2">
      <c r="B361" s="362"/>
      <c r="C361" s="363"/>
      <c r="D361" s="363"/>
      <c r="E361" s="330" t="s">
        <v>336</v>
      </c>
      <c r="F361" s="330"/>
      <c r="G361" s="52">
        <f>SUM(G359:G360)</f>
        <v>50000</v>
      </c>
      <c r="H361" s="52">
        <f>SUM(H359:H360)</f>
        <v>50000</v>
      </c>
      <c r="I361" s="52">
        <f>SUM(I359:I360)</f>
        <v>7690.8</v>
      </c>
      <c r="J361" s="52">
        <f>SUM(J359:J360)</f>
        <v>1378</v>
      </c>
      <c r="K361" s="167">
        <f t="shared" si="134"/>
        <v>0.15381600000000001</v>
      </c>
      <c r="L361" s="168">
        <f t="shared" si="131"/>
        <v>2.1528384279475982E-4</v>
      </c>
      <c r="M361" s="109"/>
    </row>
    <row r="362" spans="2:13" s="20" customFormat="1" x14ac:dyDescent="0.2">
      <c r="B362" s="361" t="s">
        <v>334</v>
      </c>
      <c r="C362" s="361"/>
      <c r="D362" s="361"/>
      <c r="E362" s="361"/>
      <c r="F362" s="361"/>
      <c r="G362" s="49">
        <f>G358+G361</f>
        <v>238075</v>
      </c>
      <c r="H362" s="49">
        <f>H358+H361</f>
        <v>350575</v>
      </c>
      <c r="I362" s="49">
        <f>I358+I361</f>
        <v>298957.147</v>
      </c>
      <c r="J362" s="49">
        <f>J358+J361</f>
        <v>1378</v>
      </c>
      <c r="K362" s="167">
        <f t="shared" si="134"/>
        <v>0.85276231048990947</v>
      </c>
      <c r="L362" s="168">
        <f t="shared" si="131"/>
        <v>8.3685238775053176E-3</v>
      </c>
      <c r="M362" s="109"/>
    </row>
    <row r="363" spans="2:13" s="20" customFormat="1" x14ac:dyDescent="0.2">
      <c r="B363" s="385" t="s">
        <v>375</v>
      </c>
      <c r="C363" s="384">
        <v>91</v>
      </c>
      <c r="D363" s="384">
        <v>1</v>
      </c>
      <c r="E363" s="13">
        <v>20101002</v>
      </c>
      <c r="F363" s="40" t="s">
        <v>376</v>
      </c>
      <c r="G363" s="129">
        <v>1400000</v>
      </c>
      <c r="H363" s="129">
        <v>1400000</v>
      </c>
      <c r="I363" s="177">
        <v>1161778.814</v>
      </c>
      <c r="J363" s="129">
        <v>0</v>
      </c>
      <c r="K363" s="167">
        <f t="shared" si="134"/>
        <v>0.82984201000000002</v>
      </c>
      <c r="L363" s="168">
        <f t="shared" si="131"/>
        <v>3.2520961090583361E-2</v>
      </c>
      <c r="M363" s="109"/>
    </row>
    <row r="364" spans="2:13" s="20" customFormat="1" x14ac:dyDescent="0.2">
      <c r="B364" s="385"/>
      <c r="C364" s="384"/>
      <c r="D364" s="384"/>
      <c r="E364" s="13">
        <v>20101003</v>
      </c>
      <c r="F364" s="40" t="s">
        <v>17</v>
      </c>
      <c r="G364" s="129">
        <v>75000</v>
      </c>
      <c r="H364" s="129">
        <v>75000</v>
      </c>
      <c r="I364" s="177">
        <v>29265.023000000001</v>
      </c>
      <c r="J364" s="129">
        <v>0</v>
      </c>
      <c r="K364" s="167">
        <f t="shared" si="134"/>
        <v>0.39020030666666666</v>
      </c>
      <c r="L364" s="168">
        <f t="shared" si="131"/>
        <v>8.191978221923637E-4</v>
      </c>
      <c r="M364" s="109"/>
    </row>
    <row r="365" spans="2:13" s="20" customFormat="1" x14ac:dyDescent="0.2">
      <c r="B365" s="385"/>
      <c r="C365" s="384"/>
      <c r="D365" s="384"/>
      <c r="E365" s="13">
        <v>20101005</v>
      </c>
      <c r="F365" s="40" t="s">
        <v>377</v>
      </c>
      <c r="G365" s="129">
        <v>3000</v>
      </c>
      <c r="H365" s="129">
        <v>3000</v>
      </c>
      <c r="I365" s="177">
        <v>3000</v>
      </c>
      <c r="J365" s="129">
        <v>0</v>
      </c>
      <c r="K365" s="167">
        <f t="shared" si="134"/>
        <v>1</v>
      </c>
      <c r="L365" s="168">
        <f t="shared" si="131"/>
        <v>8.397715821296607E-5</v>
      </c>
    </row>
    <row r="366" spans="2:13" s="20" customFormat="1" x14ac:dyDescent="0.2">
      <c r="B366" s="385"/>
      <c r="C366" s="384"/>
      <c r="D366" s="384"/>
      <c r="E366" s="13">
        <v>20101008</v>
      </c>
      <c r="F366" s="40" t="s">
        <v>378</v>
      </c>
      <c r="G366" s="129">
        <v>150000</v>
      </c>
      <c r="H366" s="129">
        <v>150000</v>
      </c>
      <c r="I366" s="177">
        <v>84192.6</v>
      </c>
      <c r="J366" s="129">
        <v>0</v>
      </c>
      <c r="K366" s="167">
        <f t="shared" si="134"/>
        <v>0.56128400000000001</v>
      </c>
      <c r="L366" s="168">
        <f t="shared" si="131"/>
        <v>2.3567517635203227E-3</v>
      </c>
    </row>
    <row r="367" spans="2:13" s="20" customFormat="1" x14ac:dyDescent="0.2">
      <c r="B367" s="385"/>
      <c r="C367" s="384"/>
      <c r="D367" s="384"/>
      <c r="E367" s="13">
        <v>20101009</v>
      </c>
      <c r="F367" s="78" t="s">
        <v>474</v>
      </c>
      <c r="G367" s="129">
        <v>25000</v>
      </c>
      <c r="H367" s="129">
        <v>25000</v>
      </c>
      <c r="I367" s="177">
        <v>14085</v>
      </c>
      <c r="J367" s="129">
        <v>0</v>
      </c>
      <c r="K367" s="167">
        <f t="shared" si="134"/>
        <v>0.56340000000000001</v>
      </c>
      <c r="L367" s="168">
        <f t="shared" si="131"/>
        <v>3.9427275780987571E-4</v>
      </c>
    </row>
    <row r="368" spans="2:13" s="20" customFormat="1" x14ac:dyDescent="0.2">
      <c r="B368" s="385"/>
      <c r="C368" s="384"/>
      <c r="D368" s="384"/>
      <c r="E368" s="13">
        <v>20103002</v>
      </c>
      <c r="F368" s="40" t="s">
        <v>379</v>
      </c>
      <c r="G368" s="129">
        <v>60000</v>
      </c>
      <c r="H368" s="129">
        <v>60000</v>
      </c>
      <c r="I368" s="177">
        <v>36157.392</v>
      </c>
      <c r="J368" s="129">
        <v>0</v>
      </c>
      <c r="K368" s="167">
        <f t="shared" si="134"/>
        <v>0.60262320000000003</v>
      </c>
      <c r="L368" s="168">
        <f t="shared" si="131"/>
        <v>1.012131676184078E-3</v>
      </c>
    </row>
    <row r="369" spans="2:14" s="20" customFormat="1" x14ac:dyDescent="0.2">
      <c r="B369" s="385"/>
      <c r="C369" s="384"/>
      <c r="D369" s="384"/>
      <c r="E369" s="13">
        <v>20103003</v>
      </c>
      <c r="F369" s="40" t="s">
        <v>380</v>
      </c>
      <c r="G369" s="129">
        <v>70000</v>
      </c>
      <c r="H369" s="129">
        <v>70000</v>
      </c>
      <c r="I369" s="177">
        <v>34631.877999999997</v>
      </c>
      <c r="J369" s="129">
        <v>0</v>
      </c>
      <c r="K369" s="167">
        <f t="shared" si="134"/>
        <v>0.49474111428571427</v>
      </c>
      <c r="L369" s="168">
        <f t="shared" si="131"/>
        <v>9.6942889933937959E-4</v>
      </c>
    </row>
    <row r="370" spans="2:14" s="20" customFormat="1" x14ac:dyDescent="0.2">
      <c r="B370" s="385"/>
      <c r="C370" s="384"/>
      <c r="D370" s="384"/>
      <c r="E370" s="13">
        <v>20117002</v>
      </c>
      <c r="F370" s="40" t="s">
        <v>31</v>
      </c>
      <c r="G370" s="129">
        <v>10000</v>
      </c>
      <c r="H370" s="129">
        <v>10000</v>
      </c>
      <c r="I370" s="177">
        <v>4215</v>
      </c>
      <c r="J370" s="129">
        <v>0</v>
      </c>
      <c r="K370" s="167">
        <f t="shared" si="134"/>
        <v>0.42149999999999999</v>
      </c>
      <c r="L370" s="168">
        <f t="shared" si="131"/>
        <v>1.1798790728921733E-4</v>
      </c>
    </row>
    <row r="371" spans="2:14" s="20" customFormat="1" x14ac:dyDescent="0.2">
      <c r="B371" s="385"/>
      <c r="C371" s="384"/>
      <c r="D371" s="384"/>
      <c r="E371" s="364" t="s">
        <v>333</v>
      </c>
      <c r="F371" s="364"/>
      <c r="G371" s="62">
        <f t="shared" ref="G371:J371" si="153">SUM(G363:G370)</f>
        <v>1793000</v>
      </c>
      <c r="H371" s="62">
        <f t="shared" si="153"/>
        <v>1793000</v>
      </c>
      <c r="I371" s="62">
        <f t="shared" si="153"/>
        <v>1367325.7070000002</v>
      </c>
      <c r="J371" s="62">
        <f t="shared" si="153"/>
        <v>0</v>
      </c>
      <c r="K371" s="167">
        <f t="shared" si="134"/>
        <v>0.76259102453987737</v>
      </c>
      <c r="L371" s="168">
        <f t="shared" si="131"/>
        <v>3.8274709075131572E-2</v>
      </c>
    </row>
    <row r="372" spans="2:14" s="20" customFormat="1" x14ac:dyDescent="0.2">
      <c r="B372" s="385"/>
      <c r="C372" s="384"/>
      <c r="D372" s="384"/>
      <c r="E372" s="13">
        <v>25101007</v>
      </c>
      <c r="F372" s="40" t="s">
        <v>88</v>
      </c>
      <c r="G372" s="129">
        <v>300000</v>
      </c>
      <c r="H372" s="129">
        <v>594000</v>
      </c>
      <c r="I372" s="177">
        <v>593529.59999999998</v>
      </c>
      <c r="J372" s="129">
        <v>0</v>
      </c>
      <c r="K372" s="167">
        <f t="shared" si="134"/>
        <v>0.99920808080808077</v>
      </c>
      <c r="L372" s="168">
        <f t="shared" si="131"/>
        <v>1.6614309707759487E-2</v>
      </c>
    </row>
    <row r="373" spans="2:14" s="20" customFormat="1" x14ac:dyDescent="0.2">
      <c r="B373" s="385"/>
      <c r="C373" s="384"/>
      <c r="D373" s="384"/>
      <c r="E373" s="13">
        <v>25101008</v>
      </c>
      <c r="F373" s="40" t="s">
        <v>89</v>
      </c>
      <c r="G373" s="129">
        <v>150000</v>
      </c>
      <c r="H373" s="129">
        <v>133000</v>
      </c>
      <c r="I373" s="177">
        <v>128943</v>
      </c>
      <c r="J373" s="129">
        <v>0</v>
      </c>
      <c r="K373" s="167">
        <f t="shared" si="134"/>
        <v>0.96949624060150374</v>
      </c>
      <c r="L373" s="168">
        <f t="shared" si="131"/>
        <v>3.6094222371514948E-3</v>
      </c>
    </row>
    <row r="374" spans="2:14" s="20" customFormat="1" x14ac:dyDescent="0.2">
      <c r="B374" s="385"/>
      <c r="C374" s="384"/>
      <c r="D374" s="384"/>
      <c r="E374" s="13">
        <v>25101009</v>
      </c>
      <c r="F374" s="40" t="s">
        <v>424</v>
      </c>
      <c r="G374" s="129">
        <v>180000</v>
      </c>
      <c r="H374" s="129">
        <v>207000</v>
      </c>
      <c r="I374" s="177">
        <v>205378</v>
      </c>
      <c r="J374" s="129">
        <v>0</v>
      </c>
      <c r="K374" s="167">
        <f t="shared" si="134"/>
        <v>0.99216425120772944</v>
      </c>
      <c r="L374" s="168">
        <f t="shared" si="131"/>
        <v>5.7490202664875157E-3</v>
      </c>
    </row>
    <row r="375" spans="2:14" s="20" customFormat="1" x14ac:dyDescent="0.2">
      <c r="B375" s="385"/>
      <c r="C375" s="384"/>
      <c r="D375" s="384"/>
      <c r="E375" s="319" t="s">
        <v>335</v>
      </c>
      <c r="F375" s="319"/>
      <c r="G375" s="57">
        <f>SUM(G372:G374)</f>
        <v>630000</v>
      </c>
      <c r="H375" s="57">
        <f t="shared" ref="H375:J375" si="154">SUM(H372:H374)</f>
        <v>934000</v>
      </c>
      <c r="I375" s="57">
        <f t="shared" si="154"/>
        <v>927850.6</v>
      </c>
      <c r="J375" s="57">
        <f t="shared" si="154"/>
        <v>0</v>
      </c>
      <c r="K375" s="167">
        <f t="shared" si="134"/>
        <v>0.99341605995717341</v>
      </c>
      <c r="L375" s="168">
        <f t="shared" si="131"/>
        <v>2.5972752211398498E-2</v>
      </c>
    </row>
    <row r="376" spans="2:14" s="20" customFormat="1" x14ac:dyDescent="0.2">
      <c r="B376" s="361" t="s">
        <v>334</v>
      </c>
      <c r="C376" s="361"/>
      <c r="D376" s="361"/>
      <c r="E376" s="361"/>
      <c r="F376" s="361"/>
      <c r="G376" s="49">
        <f t="shared" ref="G376" si="155">G371+G375</f>
        <v>2423000</v>
      </c>
      <c r="H376" s="49">
        <f t="shared" ref="H376:J376" si="156">H371+H375</f>
        <v>2727000</v>
      </c>
      <c r="I376" s="49">
        <f t="shared" si="156"/>
        <v>2295176.307</v>
      </c>
      <c r="J376" s="49">
        <f t="shared" si="156"/>
        <v>0</v>
      </c>
      <c r="K376" s="167">
        <f t="shared" si="134"/>
        <v>0.84164881078107812</v>
      </c>
      <c r="L376" s="168">
        <f t="shared" si="131"/>
        <v>6.4247461286530069E-2</v>
      </c>
    </row>
    <row r="377" spans="2:14" s="20" customFormat="1" x14ac:dyDescent="0.2">
      <c r="B377" s="385" t="s">
        <v>381</v>
      </c>
      <c r="C377" s="384">
        <v>91</v>
      </c>
      <c r="D377" s="384">
        <v>2</v>
      </c>
      <c r="E377" s="13">
        <v>20101007</v>
      </c>
      <c r="F377" s="40" t="s">
        <v>382</v>
      </c>
      <c r="G377" s="129">
        <v>400000</v>
      </c>
      <c r="H377" s="129">
        <v>352000</v>
      </c>
      <c r="I377" s="177">
        <v>86093.55</v>
      </c>
      <c r="J377" s="129">
        <v>0</v>
      </c>
      <c r="K377" s="167">
        <f t="shared" si="134"/>
        <v>0.24458394886363638</v>
      </c>
      <c r="L377" s="168">
        <f t="shared" si="131"/>
        <v>2.4099638898219685E-3</v>
      </c>
    </row>
    <row r="378" spans="2:14" s="20" customFormat="1" x14ac:dyDescent="0.2">
      <c r="B378" s="385"/>
      <c r="C378" s="384"/>
      <c r="D378" s="384"/>
      <c r="E378" s="13">
        <v>20103006</v>
      </c>
      <c r="F378" s="40" t="s">
        <v>25</v>
      </c>
      <c r="G378" s="129">
        <v>42606</v>
      </c>
      <c r="H378" s="129">
        <v>40606</v>
      </c>
      <c r="I378" s="177">
        <v>39923.173000000003</v>
      </c>
      <c r="J378" s="129">
        <v>0</v>
      </c>
      <c r="K378" s="167">
        <f t="shared" si="134"/>
        <v>0.983184086095651</v>
      </c>
      <c r="L378" s="168">
        <f t="shared" si="131"/>
        <v>1.1175448717948718E-3</v>
      </c>
      <c r="N378" s="125"/>
    </row>
    <row r="379" spans="2:14" s="20" customFormat="1" x14ac:dyDescent="0.2">
      <c r="B379" s="385"/>
      <c r="C379" s="384"/>
      <c r="D379" s="384"/>
      <c r="E379" s="13">
        <v>20116002</v>
      </c>
      <c r="F379" s="40" t="s">
        <v>26</v>
      </c>
      <c r="G379" s="129">
        <v>2406265</v>
      </c>
      <c r="H379" s="129">
        <v>2406265</v>
      </c>
      <c r="I379" s="177">
        <v>2406265</v>
      </c>
      <c r="J379" s="129">
        <v>0</v>
      </c>
      <c r="K379" s="167">
        <f t="shared" si="134"/>
        <v>1</v>
      </c>
      <c r="L379" s="168">
        <f t="shared" si="131"/>
        <v>6.7357098869107609E-2</v>
      </c>
      <c r="N379" s="125"/>
    </row>
    <row r="380" spans="2:14" s="20" customFormat="1" x14ac:dyDescent="0.2">
      <c r="B380" s="385"/>
      <c r="C380" s="384"/>
      <c r="D380" s="384"/>
      <c r="E380" s="13">
        <v>20116003</v>
      </c>
      <c r="F380" s="40" t="s">
        <v>27</v>
      </c>
      <c r="G380" s="129">
        <v>1557474</v>
      </c>
      <c r="H380" s="129">
        <v>1557474</v>
      </c>
      <c r="I380" s="177">
        <v>1557474</v>
      </c>
      <c r="J380" s="129">
        <v>0</v>
      </c>
      <c r="K380" s="167">
        <f t="shared" si="134"/>
        <v>1</v>
      </c>
      <c r="L380" s="168">
        <f t="shared" si="131"/>
        <v>4.3597413503527041E-2</v>
      </c>
    </row>
    <row r="381" spans="2:14" s="20" customFormat="1" x14ac:dyDescent="0.2">
      <c r="B381" s="385"/>
      <c r="C381" s="384"/>
      <c r="D381" s="384"/>
      <c r="E381" s="13">
        <v>20116005</v>
      </c>
      <c r="F381" s="40" t="s">
        <v>28</v>
      </c>
      <c r="G381" s="129">
        <v>135358</v>
      </c>
      <c r="H381" s="129">
        <v>135358</v>
      </c>
      <c r="I381" s="177">
        <v>135358</v>
      </c>
      <c r="J381" s="129">
        <v>0</v>
      </c>
      <c r="K381" s="167">
        <f t="shared" si="134"/>
        <v>1</v>
      </c>
      <c r="L381" s="168">
        <f t="shared" si="131"/>
        <v>3.7889933937968871E-3</v>
      </c>
    </row>
    <row r="382" spans="2:14" s="20" customFormat="1" x14ac:dyDescent="0.2">
      <c r="B382" s="385"/>
      <c r="C382" s="384"/>
      <c r="D382" s="384"/>
      <c r="E382" s="13">
        <v>20116006</v>
      </c>
      <c r="F382" s="40" t="s">
        <v>29</v>
      </c>
      <c r="G382" s="129">
        <v>27072</v>
      </c>
      <c r="H382" s="129">
        <v>27072</v>
      </c>
      <c r="I382" s="177">
        <v>27072</v>
      </c>
      <c r="J382" s="129">
        <v>0</v>
      </c>
      <c r="K382" s="167">
        <f t="shared" si="134"/>
        <v>1</v>
      </c>
      <c r="L382" s="168">
        <f t="shared" si="131"/>
        <v>7.5780987571380585E-4</v>
      </c>
    </row>
    <row r="383" spans="2:14" s="20" customFormat="1" x14ac:dyDescent="0.2">
      <c r="B383" s="385"/>
      <c r="C383" s="384"/>
      <c r="D383" s="384"/>
      <c r="E383" s="364" t="s">
        <v>333</v>
      </c>
      <c r="F383" s="364"/>
      <c r="G383" s="62">
        <f t="shared" ref="G383" si="157">SUM(G377:G382)</f>
        <v>4568775</v>
      </c>
      <c r="H383" s="62">
        <f t="shared" ref="H383:J383" si="158">SUM(H377:H382)</f>
        <v>4518775</v>
      </c>
      <c r="I383" s="62">
        <f t="shared" si="158"/>
        <v>4252185.7230000002</v>
      </c>
      <c r="J383" s="62">
        <f t="shared" si="158"/>
        <v>0</v>
      </c>
      <c r="K383" s="167">
        <f t="shared" si="134"/>
        <v>0.94100408252236512</v>
      </c>
      <c r="L383" s="168">
        <f t="shared" si="131"/>
        <v>0.11902882440376218</v>
      </c>
    </row>
    <row r="384" spans="2:14" s="20" customFormat="1" x14ac:dyDescent="0.2">
      <c r="B384" s="361" t="s">
        <v>334</v>
      </c>
      <c r="C384" s="361"/>
      <c r="D384" s="361"/>
      <c r="E384" s="361"/>
      <c r="F384" s="361"/>
      <c r="G384" s="49">
        <f t="shared" ref="G384" si="159">G383</f>
        <v>4568775</v>
      </c>
      <c r="H384" s="49">
        <f t="shared" ref="H384:J384" si="160">H383</f>
        <v>4518775</v>
      </c>
      <c r="I384" s="49">
        <f t="shared" si="160"/>
        <v>4252185.7230000002</v>
      </c>
      <c r="J384" s="49">
        <f t="shared" si="160"/>
        <v>0</v>
      </c>
      <c r="K384" s="167">
        <f t="shared" si="134"/>
        <v>0.94100408252236512</v>
      </c>
      <c r="L384" s="168">
        <f t="shared" si="131"/>
        <v>0.11902882440376218</v>
      </c>
    </row>
    <row r="385" spans="2:12" s="20" customFormat="1" x14ac:dyDescent="0.2">
      <c r="B385" s="385" t="s">
        <v>383</v>
      </c>
      <c r="C385" s="384">
        <v>91</v>
      </c>
      <c r="D385" s="384">
        <v>3</v>
      </c>
      <c r="E385" s="13">
        <v>21101001</v>
      </c>
      <c r="F385" s="40" t="s">
        <v>384</v>
      </c>
      <c r="G385" s="129">
        <v>320000</v>
      </c>
      <c r="H385" s="129">
        <v>355000</v>
      </c>
      <c r="I385" s="177">
        <v>354687.69799999997</v>
      </c>
      <c r="J385" s="129">
        <v>0</v>
      </c>
      <c r="K385" s="167">
        <f t="shared" ref="K385:K446" si="161">IFERROR(I385/H385,"")</f>
        <v>0.99912027605633791</v>
      </c>
      <c r="L385" s="168">
        <f t="shared" si="131"/>
        <v>9.9285549770462434E-3</v>
      </c>
    </row>
    <row r="386" spans="2:12" s="20" customFormat="1" x14ac:dyDescent="0.2">
      <c r="B386" s="385"/>
      <c r="C386" s="384"/>
      <c r="D386" s="384"/>
      <c r="E386" s="13">
        <v>21102001</v>
      </c>
      <c r="F386" s="40" t="s">
        <v>385</v>
      </c>
      <c r="G386" s="129">
        <v>1900000</v>
      </c>
      <c r="H386" s="129">
        <v>1900000</v>
      </c>
      <c r="I386" s="177">
        <v>1875770.15</v>
      </c>
      <c r="J386" s="129">
        <v>0</v>
      </c>
      <c r="K386" s="167">
        <f t="shared" si="161"/>
        <v>0.98724744736842096</v>
      </c>
      <c r="L386" s="168">
        <f t="shared" si="131"/>
        <v>5.2507282219236368E-2</v>
      </c>
    </row>
    <row r="387" spans="2:12" s="20" customFormat="1" x14ac:dyDescent="0.2">
      <c r="B387" s="385"/>
      <c r="C387" s="384"/>
      <c r="D387" s="384"/>
      <c r="E387" s="13">
        <v>21103001</v>
      </c>
      <c r="F387" s="40" t="s">
        <v>35</v>
      </c>
      <c r="G387" s="129">
        <v>1200000</v>
      </c>
      <c r="H387" s="129">
        <v>1200000</v>
      </c>
      <c r="I387" s="177">
        <v>862388.85900000005</v>
      </c>
      <c r="J387" s="129">
        <v>0</v>
      </c>
      <c r="K387" s="167">
        <f t="shared" si="161"/>
        <v>0.7186573825</v>
      </c>
      <c r="L387" s="168">
        <f t="shared" si="131"/>
        <v>2.4140321884447431E-2</v>
      </c>
    </row>
    <row r="388" spans="2:12" s="20" customFormat="1" x14ac:dyDescent="0.2">
      <c r="B388" s="385"/>
      <c r="C388" s="384"/>
      <c r="D388" s="384"/>
      <c r="E388" s="13">
        <v>21104001</v>
      </c>
      <c r="F388" s="40" t="s">
        <v>36</v>
      </c>
      <c r="G388" s="129">
        <v>30000</v>
      </c>
      <c r="H388" s="129">
        <v>30000</v>
      </c>
      <c r="I388" s="177"/>
      <c r="J388" s="129">
        <v>0</v>
      </c>
      <c r="K388" s="167">
        <f t="shared" si="161"/>
        <v>0</v>
      </c>
      <c r="L388" s="168">
        <f t="shared" ref="L388:L438" si="162">IFERROR(I388/$H$438,"")</f>
        <v>0</v>
      </c>
    </row>
    <row r="389" spans="2:12" s="20" customFormat="1" x14ac:dyDescent="0.2">
      <c r="B389" s="385"/>
      <c r="C389" s="384"/>
      <c r="D389" s="384"/>
      <c r="E389" s="13">
        <v>21105001</v>
      </c>
      <c r="F389" s="40" t="s">
        <v>37</v>
      </c>
      <c r="G389" s="129">
        <v>1000000</v>
      </c>
      <c r="H389" s="129">
        <v>965000</v>
      </c>
      <c r="I389" s="177">
        <v>852095.99</v>
      </c>
      <c r="J389" s="129">
        <v>0</v>
      </c>
      <c r="K389" s="167">
        <f t="shared" si="161"/>
        <v>0.88300102590673579</v>
      </c>
      <c r="L389" s="168">
        <f t="shared" si="162"/>
        <v>2.3852199921621318E-2</v>
      </c>
    </row>
    <row r="390" spans="2:12" s="20" customFormat="1" x14ac:dyDescent="0.2">
      <c r="B390" s="385"/>
      <c r="C390" s="384"/>
      <c r="D390" s="384"/>
      <c r="E390" s="364" t="s">
        <v>333</v>
      </c>
      <c r="F390" s="364"/>
      <c r="G390" s="62">
        <f t="shared" ref="G390" si="163">SUM(G385:G389)</f>
        <v>4450000</v>
      </c>
      <c r="H390" s="62">
        <f t="shared" ref="H390:J390" si="164">SUM(H385:H389)</f>
        <v>4450000</v>
      </c>
      <c r="I390" s="62">
        <f t="shared" si="164"/>
        <v>3944942.6969999997</v>
      </c>
      <c r="J390" s="62">
        <f t="shared" si="164"/>
        <v>0</v>
      </c>
      <c r="K390" s="167">
        <f t="shared" si="161"/>
        <v>0.88650397685393256</v>
      </c>
      <c r="L390" s="168">
        <f t="shared" si="162"/>
        <v>0.11042835900235135</v>
      </c>
    </row>
    <row r="391" spans="2:12" s="20" customFormat="1" x14ac:dyDescent="0.2">
      <c r="B391" s="361" t="s">
        <v>334</v>
      </c>
      <c r="C391" s="361"/>
      <c r="D391" s="361"/>
      <c r="E391" s="361"/>
      <c r="F391" s="361"/>
      <c r="G391" s="49">
        <f t="shared" ref="G391" si="165">G390</f>
        <v>4450000</v>
      </c>
      <c r="H391" s="49">
        <f t="shared" ref="H391:J391" si="166">H390</f>
        <v>4450000</v>
      </c>
      <c r="I391" s="49">
        <f t="shared" si="166"/>
        <v>3944942.6969999997</v>
      </c>
      <c r="J391" s="49">
        <f t="shared" si="166"/>
        <v>0</v>
      </c>
      <c r="K391" s="167">
        <f t="shared" si="161"/>
        <v>0.88650397685393256</v>
      </c>
      <c r="L391" s="168">
        <f t="shared" si="162"/>
        <v>0.11042835900235135</v>
      </c>
    </row>
    <row r="392" spans="2:12" s="20" customFormat="1" x14ac:dyDescent="0.2">
      <c r="B392" s="385" t="s">
        <v>386</v>
      </c>
      <c r="C392" s="384">
        <v>91</v>
      </c>
      <c r="D392" s="384">
        <v>5</v>
      </c>
      <c r="E392" s="13">
        <v>23601001</v>
      </c>
      <c r="F392" s="40" t="s">
        <v>52</v>
      </c>
      <c r="G392" s="129">
        <v>200000</v>
      </c>
      <c r="H392" s="129">
        <v>200000</v>
      </c>
      <c r="I392" s="177">
        <v>91329.254000000001</v>
      </c>
      <c r="J392" s="129">
        <v>0</v>
      </c>
      <c r="K392" s="167">
        <f t="shared" si="161"/>
        <v>0.45664627000000002</v>
      </c>
      <c r="L392" s="168">
        <f t="shared" si="162"/>
        <v>2.5565237375433881E-3</v>
      </c>
    </row>
    <row r="393" spans="2:12" s="20" customFormat="1" x14ac:dyDescent="0.2">
      <c r="B393" s="385"/>
      <c r="C393" s="384"/>
      <c r="D393" s="384"/>
      <c r="E393" s="13">
        <v>23601002</v>
      </c>
      <c r="F393" s="40" t="s">
        <v>53</v>
      </c>
      <c r="G393" s="129">
        <v>150000</v>
      </c>
      <c r="H393" s="129">
        <v>340000</v>
      </c>
      <c r="I393" s="177">
        <v>194327.427</v>
      </c>
      <c r="J393" s="129">
        <v>0</v>
      </c>
      <c r="K393" s="167">
        <f t="shared" si="161"/>
        <v>0.57155125588235289</v>
      </c>
      <c r="L393" s="168">
        <f t="shared" si="162"/>
        <v>5.4396883607658719E-3</v>
      </c>
    </row>
    <row r="394" spans="2:12" s="20" customFormat="1" x14ac:dyDescent="0.2">
      <c r="B394" s="385"/>
      <c r="C394" s="384"/>
      <c r="D394" s="384"/>
      <c r="E394" s="13">
        <v>23601003</v>
      </c>
      <c r="F394" s="40" t="s">
        <v>54</v>
      </c>
      <c r="G394" s="129">
        <v>500000</v>
      </c>
      <c r="H394" s="129">
        <v>500000</v>
      </c>
      <c r="I394" s="177"/>
      <c r="J394" s="129">
        <v>499999.62</v>
      </c>
      <c r="K394" s="167">
        <f t="shared" si="161"/>
        <v>0</v>
      </c>
      <c r="L394" s="168">
        <f t="shared" si="162"/>
        <v>0</v>
      </c>
    </row>
    <row r="395" spans="2:12" s="20" customFormat="1" x14ac:dyDescent="0.2">
      <c r="B395" s="385"/>
      <c r="C395" s="384"/>
      <c r="D395" s="384"/>
      <c r="E395" s="13">
        <v>23601004</v>
      </c>
      <c r="F395" s="40" t="s">
        <v>55</v>
      </c>
      <c r="G395" s="129">
        <v>15000</v>
      </c>
      <c r="H395" s="129">
        <v>15000</v>
      </c>
      <c r="I395" s="177">
        <v>146.56</v>
      </c>
      <c r="J395" s="129">
        <v>7000</v>
      </c>
      <c r="K395" s="167">
        <f t="shared" si="161"/>
        <v>9.7706666666666671E-3</v>
      </c>
      <c r="L395" s="168">
        <f t="shared" si="162"/>
        <v>4.1025641025641027E-6</v>
      </c>
    </row>
    <row r="396" spans="2:12" s="20" customFormat="1" x14ac:dyDescent="0.2">
      <c r="B396" s="385"/>
      <c r="C396" s="384"/>
      <c r="D396" s="384"/>
      <c r="E396" s="13">
        <v>23601005</v>
      </c>
      <c r="F396" s="40" t="s">
        <v>56</v>
      </c>
      <c r="G396" s="129">
        <v>5000</v>
      </c>
      <c r="H396" s="129">
        <v>5000</v>
      </c>
      <c r="I396" s="177"/>
      <c r="J396" s="129">
        <v>0</v>
      </c>
      <c r="K396" s="167">
        <f t="shared" si="161"/>
        <v>0</v>
      </c>
      <c r="L396" s="168">
        <f t="shared" si="162"/>
        <v>0</v>
      </c>
    </row>
    <row r="397" spans="2:12" s="20" customFormat="1" x14ac:dyDescent="0.2">
      <c r="B397" s="385"/>
      <c r="C397" s="384"/>
      <c r="D397" s="384"/>
      <c r="E397" s="13">
        <v>23601006</v>
      </c>
      <c r="F397" s="40" t="s">
        <v>57</v>
      </c>
      <c r="G397" s="129">
        <v>10000</v>
      </c>
      <c r="H397" s="129">
        <v>10000</v>
      </c>
      <c r="I397" s="177">
        <v>781.3</v>
      </c>
      <c r="J397" s="129">
        <v>0</v>
      </c>
      <c r="K397" s="167">
        <f t="shared" si="161"/>
        <v>7.8129999999999991E-2</v>
      </c>
      <c r="L397" s="168">
        <f t="shared" si="162"/>
        <v>2.1870451237263462E-5</v>
      </c>
    </row>
    <row r="398" spans="2:12" s="20" customFormat="1" x14ac:dyDescent="0.2">
      <c r="B398" s="385"/>
      <c r="C398" s="384"/>
      <c r="D398" s="384"/>
      <c r="E398" s="13">
        <v>23601007</v>
      </c>
      <c r="F398" s="40" t="s">
        <v>58</v>
      </c>
      <c r="G398" s="129">
        <v>20000</v>
      </c>
      <c r="H398" s="129">
        <v>20000</v>
      </c>
      <c r="I398" s="177">
        <v>16994.312000000002</v>
      </c>
      <c r="J398" s="129">
        <v>0</v>
      </c>
      <c r="K398" s="167">
        <f t="shared" si="161"/>
        <v>0.84971560000000013</v>
      </c>
      <c r="L398" s="168">
        <f t="shared" si="162"/>
        <v>4.7571134251483602E-4</v>
      </c>
    </row>
    <row r="399" spans="2:12" s="20" customFormat="1" x14ac:dyDescent="0.2">
      <c r="B399" s="385"/>
      <c r="C399" s="384"/>
      <c r="D399" s="384"/>
      <c r="E399" s="13">
        <v>23602001</v>
      </c>
      <c r="F399" s="40" t="s">
        <v>59</v>
      </c>
      <c r="G399" s="129">
        <v>50000</v>
      </c>
      <c r="H399" s="129">
        <v>10000</v>
      </c>
      <c r="I399" s="177"/>
      <c r="J399" s="129">
        <v>0</v>
      </c>
      <c r="K399" s="167">
        <f t="shared" si="161"/>
        <v>0</v>
      </c>
      <c r="L399" s="168">
        <f t="shared" si="162"/>
        <v>0</v>
      </c>
    </row>
    <row r="400" spans="2:12" s="20" customFormat="1" x14ac:dyDescent="0.2">
      <c r="B400" s="385"/>
      <c r="C400" s="384"/>
      <c r="D400" s="384"/>
      <c r="E400" s="13">
        <v>23602002</v>
      </c>
      <c r="F400" s="40" t="s">
        <v>60</v>
      </c>
      <c r="G400" s="129">
        <v>1000</v>
      </c>
      <c r="H400" s="129">
        <v>1000</v>
      </c>
      <c r="I400" s="177"/>
      <c r="J400" s="129">
        <v>0</v>
      </c>
      <c r="K400" s="167">
        <f t="shared" si="161"/>
        <v>0</v>
      </c>
      <c r="L400" s="168">
        <f t="shared" si="162"/>
        <v>0</v>
      </c>
    </row>
    <row r="401" spans="2:12" s="20" customFormat="1" x14ac:dyDescent="0.2">
      <c r="B401" s="385"/>
      <c r="C401" s="384"/>
      <c r="D401" s="384"/>
      <c r="E401" s="13">
        <v>23602003</v>
      </c>
      <c r="F401" s="40" t="s">
        <v>61</v>
      </c>
      <c r="G401" s="129">
        <v>5000</v>
      </c>
      <c r="H401" s="129">
        <v>5000</v>
      </c>
      <c r="I401" s="177">
        <v>578</v>
      </c>
      <c r="J401" s="129">
        <v>0</v>
      </c>
      <c r="K401" s="167">
        <f t="shared" si="161"/>
        <v>0.11559999999999999</v>
      </c>
      <c r="L401" s="168">
        <f t="shared" si="162"/>
        <v>1.6179599149031463E-5</v>
      </c>
    </row>
    <row r="402" spans="2:12" s="20" customFormat="1" x14ac:dyDescent="0.2">
      <c r="B402" s="385"/>
      <c r="C402" s="384"/>
      <c r="D402" s="384"/>
      <c r="E402" s="13">
        <v>23606006</v>
      </c>
      <c r="F402" s="40" t="s">
        <v>387</v>
      </c>
      <c r="G402" s="129">
        <v>3000</v>
      </c>
      <c r="H402" s="129">
        <v>3000</v>
      </c>
      <c r="I402" s="177">
        <v>39.44</v>
      </c>
      <c r="J402" s="129">
        <v>0</v>
      </c>
      <c r="K402" s="167">
        <f t="shared" si="161"/>
        <v>1.3146666666666666E-2</v>
      </c>
      <c r="L402" s="168">
        <f t="shared" si="162"/>
        <v>1.1040197066397939E-6</v>
      </c>
    </row>
    <row r="403" spans="2:12" s="20" customFormat="1" x14ac:dyDescent="0.2">
      <c r="B403" s="385"/>
      <c r="C403" s="384"/>
      <c r="D403" s="384"/>
      <c r="E403" s="13">
        <v>23615001</v>
      </c>
      <c r="F403" s="40" t="s">
        <v>69</v>
      </c>
      <c r="G403" s="129">
        <v>50000</v>
      </c>
      <c r="H403" s="129">
        <v>50000</v>
      </c>
      <c r="I403" s="177">
        <v>22373.050999999999</v>
      </c>
      <c r="J403" s="129">
        <v>7425</v>
      </c>
      <c r="K403" s="167">
        <f t="shared" si="161"/>
        <v>0.44746101999999999</v>
      </c>
      <c r="L403" s="168">
        <f t="shared" si="162"/>
        <v>6.2627508117791956E-4</v>
      </c>
    </row>
    <row r="404" spans="2:12" s="20" customFormat="1" x14ac:dyDescent="0.2">
      <c r="B404" s="385"/>
      <c r="C404" s="384"/>
      <c r="D404" s="384"/>
      <c r="E404" s="13">
        <v>23615003</v>
      </c>
      <c r="F404" s="78" t="s">
        <v>475</v>
      </c>
      <c r="G404" s="129">
        <v>75000</v>
      </c>
      <c r="H404" s="129">
        <v>15000</v>
      </c>
      <c r="I404" s="177">
        <v>795.79899999999998</v>
      </c>
      <c r="J404" s="129">
        <v>0</v>
      </c>
      <c r="K404" s="167">
        <f t="shared" si="161"/>
        <v>5.3053266666666668E-2</v>
      </c>
      <c r="L404" s="168">
        <f t="shared" si="162"/>
        <v>2.227631284290673E-5</v>
      </c>
    </row>
    <row r="405" spans="2:12" s="20" customFormat="1" x14ac:dyDescent="0.2">
      <c r="B405" s="385"/>
      <c r="C405" s="384"/>
      <c r="D405" s="384"/>
      <c r="E405" s="13">
        <v>24903001</v>
      </c>
      <c r="F405" s="40" t="s">
        <v>84</v>
      </c>
      <c r="G405" s="129">
        <v>800000</v>
      </c>
      <c r="H405" s="129">
        <v>800000</v>
      </c>
      <c r="I405" s="177">
        <v>569621.19700000004</v>
      </c>
      <c r="J405" s="129">
        <v>0</v>
      </c>
      <c r="K405" s="167">
        <f t="shared" si="161"/>
        <v>0.71202649625000003</v>
      </c>
      <c r="L405" s="168">
        <f t="shared" si="162"/>
        <v>1.5945056460642707E-2</v>
      </c>
    </row>
    <row r="406" spans="2:12" s="20" customFormat="1" x14ac:dyDescent="0.2">
      <c r="B406" s="385"/>
      <c r="C406" s="384"/>
      <c r="D406" s="384"/>
      <c r="E406" s="13">
        <v>25002002</v>
      </c>
      <c r="F406" s="40" t="s">
        <v>393</v>
      </c>
      <c r="G406" s="129">
        <v>100000</v>
      </c>
      <c r="H406" s="129">
        <v>100000</v>
      </c>
      <c r="I406" s="177"/>
      <c r="J406" s="129">
        <v>0</v>
      </c>
      <c r="K406" s="167">
        <f t="shared" si="161"/>
        <v>0</v>
      </c>
      <c r="L406" s="168">
        <f t="shared" si="162"/>
        <v>0</v>
      </c>
    </row>
    <row r="407" spans="2:12" s="20" customFormat="1" x14ac:dyDescent="0.2">
      <c r="B407" s="385"/>
      <c r="C407" s="384"/>
      <c r="D407" s="384"/>
      <c r="E407" s="364" t="s">
        <v>333</v>
      </c>
      <c r="F407" s="364"/>
      <c r="G407" s="62">
        <f>SUM(G392:G406)</f>
        <v>1984000</v>
      </c>
      <c r="H407" s="62">
        <f>SUM(H392:H406)</f>
        <v>2074000</v>
      </c>
      <c r="I407" s="62">
        <f>SUM(I392:I406)</f>
        <v>896986.34</v>
      </c>
      <c r="J407" s="62">
        <f>SUM(J392:J406)</f>
        <v>514424.62</v>
      </c>
      <c r="K407" s="167">
        <f t="shared" si="161"/>
        <v>0.43249100289296044</v>
      </c>
      <c r="L407" s="168">
        <f t="shared" si="162"/>
        <v>2.5108787929683126E-2</v>
      </c>
    </row>
    <row r="408" spans="2:12" s="20" customFormat="1" x14ac:dyDescent="0.2">
      <c r="B408" s="361" t="s">
        <v>334</v>
      </c>
      <c r="C408" s="361"/>
      <c r="D408" s="361"/>
      <c r="E408" s="361"/>
      <c r="F408" s="361"/>
      <c r="G408" s="49">
        <f t="shared" ref="G408" si="167">G407</f>
        <v>1984000</v>
      </c>
      <c r="H408" s="49">
        <f t="shared" ref="H408:J408" si="168">H407</f>
        <v>2074000</v>
      </c>
      <c r="I408" s="49">
        <f t="shared" si="168"/>
        <v>896986.34</v>
      </c>
      <c r="J408" s="49">
        <f t="shared" si="168"/>
        <v>514424.62</v>
      </c>
      <c r="K408" s="167">
        <f t="shared" si="161"/>
        <v>0.43249100289296044</v>
      </c>
      <c r="L408" s="168">
        <f t="shared" si="162"/>
        <v>2.5108787929683126E-2</v>
      </c>
    </row>
    <row r="409" spans="2:12" s="20" customFormat="1" ht="14.25" customHeight="1" x14ac:dyDescent="0.2">
      <c r="B409" s="414" t="s">
        <v>388</v>
      </c>
      <c r="C409" s="398">
        <v>91</v>
      </c>
      <c r="D409" s="398">
        <v>6</v>
      </c>
      <c r="E409" s="13">
        <v>24601001</v>
      </c>
      <c r="F409" s="40" t="s">
        <v>70</v>
      </c>
      <c r="G409" s="129">
        <v>3550</v>
      </c>
      <c r="H409" s="129">
        <v>3550</v>
      </c>
      <c r="I409" s="177">
        <v>3540</v>
      </c>
      <c r="J409" s="129">
        <v>0</v>
      </c>
      <c r="K409" s="167">
        <f t="shared" si="161"/>
        <v>0.9971830985915493</v>
      </c>
      <c r="L409" s="168">
        <f t="shared" si="162"/>
        <v>9.9093046691299964E-5</v>
      </c>
    </row>
    <row r="410" spans="2:12" s="20" customFormat="1" x14ac:dyDescent="0.2">
      <c r="B410" s="415"/>
      <c r="C410" s="399"/>
      <c r="D410" s="399"/>
      <c r="E410" s="13">
        <v>24601002</v>
      </c>
      <c r="F410" s="40" t="s">
        <v>389</v>
      </c>
      <c r="G410" s="129">
        <v>2150</v>
      </c>
      <c r="H410" s="129">
        <v>2150</v>
      </c>
      <c r="I410" s="177"/>
      <c r="J410" s="129">
        <v>0</v>
      </c>
      <c r="K410" s="167">
        <f t="shared" si="161"/>
        <v>0</v>
      </c>
      <c r="L410" s="168">
        <f t="shared" si="162"/>
        <v>0</v>
      </c>
    </row>
    <row r="411" spans="2:12" s="20" customFormat="1" x14ac:dyDescent="0.2">
      <c r="B411" s="415"/>
      <c r="C411" s="399"/>
      <c r="D411" s="399"/>
      <c r="E411" s="13">
        <v>24601004</v>
      </c>
      <c r="F411" s="40" t="s">
        <v>390</v>
      </c>
      <c r="G411" s="129">
        <v>400</v>
      </c>
      <c r="H411" s="129">
        <v>400</v>
      </c>
      <c r="I411" s="177">
        <v>350</v>
      </c>
      <c r="J411" s="129">
        <v>0</v>
      </c>
      <c r="K411" s="167">
        <f t="shared" si="161"/>
        <v>0.875</v>
      </c>
      <c r="L411" s="168">
        <f t="shared" si="162"/>
        <v>9.7973351248460421E-6</v>
      </c>
    </row>
    <row r="412" spans="2:12" s="20" customFormat="1" x14ac:dyDescent="0.2">
      <c r="B412" s="415"/>
      <c r="C412" s="399"/>
      <c r="D412" s="399"/>
      <c r="E412" s="13">
        <v>24601006</v>
      </c>
      <c r="F412" s="40" t="s">
        <v>72</v>
      </c>
      <c r="G412" s="129">
        <v>7000</v>
      </c>
      <c r="H412" s="129">
        <v>7000</v>
      </c>
      <c r="I412" s="177">
        <v>7000</v>
      </c>
      <c r="J412" s="129">
        <v>0</v>
      </c>
      <c r="K412" s="167">
        <f t="shared" si="161"/>
        <v>1</v>
      </c>
      <c r="L412" s="168">
        <f t="shared" si="162"/>
        <v>1.9594670249692083E-4</v>
      </c>
    </row>
    <row r="413" spans="2:12" s="20" customFormat="1" x14ac:dyDescent="0.2">
      <c r="B413" s="415"/>
      <c r="C413" s="399"/>
      <c r="D413" s="399"/>
      <c r="E413" s="13">
        <v>24601007</v>
      </c>
      <c r="F413" s="40" t="s">
        <v>391</v>
      </c>
      <c r="G413" s="129">
        <v>10000</v>
      </c>
      <c r="H413" s="129">
        <v>10000</v>
      </c>
      <c r="I413" s="177"/>
      <c r="J413" s="129">
        <v>0</v>
      </c>
      <c r="K413" s="167">
        <f t="shared" si="161"/>
        <v>0</v>
      </c>
      <c r="L413" s="168">
        <f t="shared" si="162"/>
        <v>0</v>
      </c>
    </row>
    <row r="414" spans="2:12" s="20" customFormat="1" x14ac:dyDescent="0.2">
      <c r="B414" s="415"/>
      <c r="C414" s="399"/>
      <c r="D414" s="399"/>
      <c r="E414" s="23">
        <v>24601009</v>
      </c>
      <c r="F414" s="79" t="s">
        <v>272</v>
      </c>
      <c r="G414" s="129">
        <v>400</v>
      </c>
      <c r="H414" s="129">
        <v>400</v>
      </c>
      <c r="I414" s="177"/>
      <c r="J414" s="129">
        <v>0</v>
      </c>
      <c r="K414" s="167">
        <f t="shared" si="161"/>
        <v>0</v>
      </c>
      <c r="L414" s="168">
        <f t="shared" si="162"/>
        <v>0</v>
      </c>
    </row>
    <row r="415" spans="2:12" s="20" customFormat="1" x14ac:dyDescent="0.2">
      <c r="B415" s="415"/>
      <c r="C415" s="399"/>
      <c r="D415" s="399"/>
      <c r="E415" s="95">
        <v>24601010</v>
      </c>
      <c r="F415" s="80" t="s">
        <v>478</v>
      </c>
      <c r="G415" s="129">
        <v>400</v>
      </c>
      <c r="H415" s="129">
        <v>400</v>
      </c>
      <c r="I415" s="177">
        <v>394.52300000000002</v>
      </c>
      <c r="J415" s="129">
        <v>0</v>
      </c>
      <c r="K415" s="167">
        <f t="shared" si="161"/>
        <v>0.98630750000000011</v>
      </c>
      <c r="L415" s="168">
        <f t="shared" si="162"/>
        <v>1.1043640129884672E-5</v>
      </c>
    </row>
    <row r="416" spans="2:12" s="20" customFormat="1" x14ac:dyDescent="0.2">
      <c r="B416" s="415"/>
      <c r="C416" s="399"/>
      <c r="D416" s="399"/>
      <c r="E416" s="13">
        <v>24602001</v>
      </c>
      <c r="F416" s="40" t="s">
        <v>392</v>
      </c>
      <c r="G416" s="129">
        <v>3600</v>
      </c>
      <c r="H416" s="129">
        <v>3600</v>
      </c>
      <c r="I416" s="177"/>
      <c r="J416" s="129">
        <v>0</v>
      </c>
      <c r="K416" s="167">
        <f t="shared" si="161"/>
        <v>0</v>
      </c>
      <c r="L416" s="168">
        <f t="shared" si="162"/>
        <v>0</v>
      </c>
    </row>
    <row r="417" spans="2:12" s="20" customFormat="1" x14ac:dyDescent="0.2">
      <c r="B417" s="415"/>
      <c r="C417" s="399"/>
      <c r="D417" s="399"/>
      <c r="E417" s="13">
        <v>24602002</v>
      </c>
      <c r="F417" s="40" t="s">
        <v>124</v>
      </c>
      <c r="G417" s="129">
        <v>2000</v>
      </c>
      <c r="H417" s="129">
        <v>2000</v>
      </c>
      <c r="I417" s="177"/>
      <c r="J417" s="129">
        <v>0</v>
      </c>
      <c r="K417" s="167">
        <f t="shared" si="161"/>
        <v>0</v>
      </c>
      <c r="L417" s="168">
        <f t="shared" si="162"/>
        <v>0</v>
      </c>
    </row>
    <row r="418" spans="2:12" s="20" customFormat="1" x14ac:dyDescent="0.2">
      <c r="B418" s="415"/>
      <c r="C418" s="399"/>
      <c r="D418" s="399"/>
      <c r="E418" s="13">
        <v>24602004</v>
      </c>
      <c r="F418" s="40" t="s">
        <v>125</v>
      </c>
      <c r="G418" s="129">
        <v>15000</v>
      </c>
      <c r="H418" s="129">
        <v>15000</v>
      </c>
      <c r="I418" s="177">
        <v>15000</v>
      </c>
      <c r="J418" s="129">
        <v>0</v>
      </c>
      <c r="K418" s="167">
        <f t="shared" si="161"/>
        <v>1</v>
      </c>
      <c r="L418" s="168">
        <f t="shared" si="162"/>
        <v>4.1988579106483039E-4</v>
      </c>
    </row>
    <row r="419" spans="2:12" s="20" customFormat="1" x14ac:dyDescent="0.2">
      <c r="B419" s="415"/>
      <c r="C419" s="399"/>
      <c r="D419" s="399"/>
      <c r="E419" s="13">
        <v>24602007</v>
      </c>
      <c r="F419" s="40" t="s">
        <v>75</v>
      </c>
      <c r="G419" s="129">
        <v>500</v>
      </c>
      <c r="H419" s="129">
        <v>500</v>
      </c>
      <c r="I419" s="177"/>
      <c r="J419" s="129">
        <v>0</v>
      </c>
      <c r="K419" s="167">
        <f t="shared" si="161"/>
        <v>0</v>
      </c>
      <c r="L419" s="168">
        <f t="shared" si="162"/>
        <v>0</v>
      </c>
    </row>
    <row r="420" spans="2:12" s="20" customFormat="1" x14ac:dyDescent="0.2">
      <c r="B420" s="415"/>
      <c r="C420" s="399"/>
      <c r="D420" s="399"/>
      <c r="E420" s="13">
        <v>24605003</v>
      </c>
      <c r="F420" s="40" t="s">
        <v>76</v>
      </c>
      <c r="G420" s="129">
        <v>5000</v>
      </c>
      <c r="H420" s="129">
        <v>5000</v>
      </c>
      <c r="I420" s="177"/>
      <c r="J420" s="129">
        <v>0</v>
      </c>
      <c r="K420" s="167">
        <f t="shared" si="161"/>
        <v>0</v>
      </c>
      <c r="L420" s="168">
        <f t="shared" si="162"/>
        <v>0</v>
      </c>
    </row>
    <row r="421" spans="2:12" s="20" customFormat="1" x14ac:dyDescent="0.2">
      <c r="B421" s="415"/>
      <c r="C421" s="399"/>
      <c r="D421" s="399"/>
      <c r="E421" s="13">
        <v>24605007</v>
      </c>
      <c r="F421" s="40" t="s">
        <v>77</v>
      </c>
      <c r="G421" s="129">
        <v>10000</v>
      </c>
      <c r="H421" s="129">
        <v>10000</v>
      </c>
      <c r="I421" s="177">
        <v>10000</v>
      </c>
      <c r="J421" s="129">
        <v>0</v>
      </c>
      <c r="K421" s="167">
        <f t="shared" si="161"/>
        <v>1</v>
      </c>
      <c r="L421" s="168">
        <f t="shared" si="162"/>
        <v>2.7992386070988689E-4</v>
      </c>
    </row>
    <row r="422" spans="2:12" s="20" customFormat="1" x14ac:dyDescent="0.2">
      <c r="B422" s="415"/>
      <c r="C422" s="399"/>
      <c r="D422" s="399"/>
      <c r="E422" s="13">
        <v>24605009</v>
      </c>
      <c r="F422" s="40" t="s">
        <v>126</v>
      </c>
      <c r="G422" s="129">
        <v>25000</v>
      </c>
      <c r="H422" s="129">
        <v>25000</v>
      </c>
      <c r="I422" s="177">
        <v>25000</v>
      </c>
      <c r="J422" s="129">
        <v>0</v>
      </c>
      <c r="K422" s="167">
        <f t="shared" si="161"/>
        <v>1</v>
      </c>
      <c r="L422" s="168">
        <f t="shared" si="162"/>
        <v>6.9980965177471723E-4</v>
      </c>
    </row>
    <row r="423" spans="2:12" s="20" customFormat="1" x14ac:dyDescent="0.2">
      <c r="B423" s="415"/>
      <c r="C423" s="399"/>
      <c r="D423" s="399"/>
      <c r="E423" s="13">
        <v>24605010</v>
      </c>
      <c r="F423" s="40" t="s">
        <v>78</v>
      </c>
      <c r="G423" s="129">
        <v>1500</v>
      </c>
      <c r="H423" s="129">
        <v>1500</v>
      </c>
      <c r="I423" s="177"/>
      <c r="J423" s="129">
        <v>0</v>
      </c>
      <c r="K423" s="167">
        <f t="shared" si="161"/>
        <v>0</v>
      </c>
      <c r="L423" s="168">
        <f t="shared" si="162"/>
        <v>0</v>
      </c>
    </row>
    <row r="424" spans="2:12" s="20" customFormat="1" x14ac:dyDescent="0.2">
      <c r="B424" s="415"/>
      <c r="C424" s="399"/>
      <c r="D424" s="399"/>
      <c r="E424" s="13">
        <v>24605016</v>
      </c>
      <c r="F424" s="40" t="s">
        <v>79</v>
      </c>
      <c r="G424" s="129">
        <v>2000</v>
      </c>
      <c r="H424" s="129">
        <v>2000</v>
      </c>
      <c r="I424" s="177"/>
      <c r="J424" s="129">
        <v>0</v>
      </c>
      <c r="K424" s="167">
        <f t="shared" si="161"/>
        <v>0</v>
      </c>
      <c r="L424" s="168">
        <f t="shared" si="162"/>
        <v>0</v>
      </c>
    </row>
    <row r="425" spans="2:12" s="20" customFormat="1" x14ac:dyDescent="0.2">
      <c r="B425" s="415"/>
      <c r="C425" s="399"/>
      <c r="D425" s="399"/>
      <c r="E425" s="13">
        <v>24605017</v>
      </c>
      <c r="F425" s="40" t="s">
        <v>80</v>
      </c>
      <c r="G425" s="129">
        <v>500</v>
      </c>
      <c r="H425" s="129">
        <v>500</v>
      </c>
      <c r="I425" s="177"/>
      <c r="J425" s="129">
        <v>0</v>
      </c>
      <c r="K425" s="167">
        <f t="shared" si="161"/>
        <v>0</v>
      </c>
      <c r="L425" s="168">
        <f t="shared" si="162"/>
        <v>0</v>
      </c>
    </row>
    <row r="426" spans="2:12" s="20" customFormat="1" x14ac:dyDescent="0.2">
      <c r="B426" s="415"/>
      <c r="C426" s="399"/>
      <c r="D426" s="399"/>
      <c r="E426" s="13">
        <v>24605020</v>
      </c>
      <c r="F426" s="40" t="s">
        <v>81</v>
      </c>
      <c r="G426" s="129">
        <v>5000</v>
      </c>
      <c r="H426" s="129">
        <v>5000</v>
      </c>
      <c r="I426" s="177">
        <v>5000</v>
      </c>
      <c r="J426" s="129">
        <v>0</v>
      </c>
      <c r="K426" s="167">
        <f t="shared" si="161"/>
        <v>1</v>
      </c>
      <c r="L426" s="168">
        <f t="shared" si="162"/>
        <v>1.3996193035494345E-4</v>
      </c>
    </row>
    <row r="427" spans="2:12" s="20" customFormat="1" x14ac:dyDescent="0.2">
      <c r="B427" s="415"/>
      <c r="C427" s="399"/>
      <c r="D427" s="399"/>
      <c r="E427" s="13">
        <v>24605021</v>
      </c>
      <c r="F427" s="40" t="s">
        <v>82</v>
      </c>
      <c r="G427" s="129">
        <v>250</v>
      </c>
      <c r="H427" s="129">
        <v>250</v>
      </c>
      <c r="I427" s="177"/>
      <c r="J427" s="129">
        <v>0</v>
      </c>
      <c r="K427" s="167">
        <f t="shared" si="161"/>
        <v>0</v>
      </c>
      <c r="L427" s="168">
        <f t="shared" si="162"/>
        <v>0</v>
      </c>
    </row>
    <row r="428" spans="2:12" s="20" customFormat="1" x14ac:dyDescent="0.2">
      <c r="B428" s="415"/>
      <c r="C428" s="399"/>
      <c r="D428" s="399"/>
      <c r="E428" s="13">
        <v>24605022</v>
      </c>
      <c r="F428" s="40" t="s">
        <v>83</v>
      </c>
      <c r="G428" s="129">
        <v>250</v>
      </c>
      <c r="H428" s="129">
        <v>250</v>
      </c>
      <c r="I428" s="177">
        <v>250</v>
      </c>
      <c r="J428" s="129">
        <v>0</v>
      </c>
      <c r="K428" s="167">
        <f t="shared" si="161"/>
        <v>1</v>
      </c>
      <c r="L428" s="168">
        <f t="shared" si="162"/>
        <v>6.9980965177471728E-6</v>
      </c>
    </row>
    <row r="429" spans="2:12" s="20" customFormat="1" x14ac:dyDescent="0.2">
      <c r="B429" s="416"/>
      <c r="C429" s="400"/>
      <c r="D429" s="400"/>
      <c r="E429" s="364" t="s">
        <v>333</v>
      </c>
      <c r="F429" s="364"/>
      <c r="G429" s="62">
        <f>SUM(G409:G428)</f>
        <v>94500</v>
      </c>
      <c r="H429" s="62">
        <f t="shared" ref="H429:J429" si="169">SUM(H409:H428)</f>
        <v>94500</v>
      </c>
      <c r="I429" s="62">
        <f t="shared" si="169"/>
        <v>66534.523000000001</v>
      </c>
      <c r="J429" s="62">
        <f t="shared" si="169"/>
        <v>0</v>
      </c>
      <c r="K429" s="167">
        <f t="shared" si="161"/>
        <v>0.70406902645502645</v>
      </c>
      <c r="L429" s="168">
        <f t="shared" si="162"/>
        <v>1.8624600548650767E-3</v>
      </c>
    </row>
    <row r="430" spans="2:12" s="20" customFormat="1" x14ac:dyDescent="0.2">
      <c r="B430" s="361" t="s">
        <v>334</v>
      </c>
      <c r="C430" s="361"/>
      <c r="D430" s="361"/>
      <c r="E430" s="361"/>
      <c r="F430" s="361"/>
      <c r="G430" s="49">
        <f t="shared" ref="G430" si="170">G429</f>
        <v>94500</v>
      </c>
      <c r="H430" s="49">
        <f t="shared" ref="H430:J430" si="171">H429</f>
        <v>94500</v>
      </c>
      <c r="I430" s="49">
        <f t="shared" si="171"/>
        <v>66534.523000000001</v>
      </c>
      <c r="J430" s="49">
        <f t="shared" si="171"/>
        <v>0</v>
      </c>
      <c r="K430" s="167">
        <f t="shared" si="161"/>
        <v>0.70406902645502645</v>
      </c>
      <c r="L430" s="168">
        <f t="shared" si="162"/>
        <v>1.8624600548650767E-3</v>
      </c>
    </row>
    <row r="431" spans="2:12" s="20" customFormat="1" x14ac:dyDescent="0.2">
      <c r="B431" s="385" t="s">
        <v>427</v>
      </c>
      <c r="C431" s="384">
        <v>91</v>
      </c>
      <c r="D431" s="384">
        <v>16</v>
      </c>
      <c r="E431" s="13">
        <v>24701001</v>
      </c>
      <c r="F431" s="40" t="s">
        <v>419</v>
      </c>
      <c r="G431" s="129">
        <v>1150000</v>
      </c>
      <c r="H431" s="129">
        <v>1150000</v>
      </c>
      <c r="I431" s="177">
        <v>502224.00300000003</v>
      </c>
      <c r="J431" s="129">
        <v>600958.60900000005</v>
      </c>
      <c r="K431" s="167">
        <f t="shared" si="161"/>
        <v>0.4367165243478261</v>
      </c>
      <c r="L431" s="168">
        <f t="shared" si="162"/>
        <v>1.4058448186093383E-2</v>
      </c>
    </row>
    <row r="432" spans="2:12" s="20" customFormat="1" x14ac:dyDescent="0.2">
      <c r="B432" s="385"/>
      <c r="C432" s="384"/>
      <c r="D432" s="384"/>
      <c r="E432" s="364" t="s">
        <v>333</v>
      </c>
      <c r="F432" s="364"/>
      <c r="G432" s="62">
        <f t="shared" ref="G432:J432" si="172">SUM(G431)</f>
        <v>1150000</v>
      </c>
      <c r="H432" s="62">
        <f t="shared" si="172"/>
        <v>1150000</v>
      </c>
      <c r="I432" s="62">
        <f t="shared" si="172"/>
        <v>502224.00300000003</v>
      </c>
      <c r="J432" s="62">
        <f t="shared" si="172"/>
        <v>600958.60900000005</v>
      </c>
      <c r="K432" s="167">
        <f t="shared" si="161"/>
        <v>0.4367165243478261</v>
      </c>
      <c r="L432" s="168">
        <f t="shared" si="162"/>
        <v>1.4058448186093383E-2</v>
      </c>
    </row>
    <row r="433" spans="2:12" s="20" customFormat="1" x14ac:dyDescent="0.2">
      <c r="B433" s="385"/>
      <c r="C433" s="384"/>
      <c r="D433" s="384"/>
      <c r="E433" s="13">
        <v>25501001</v>
      </c>
      <c r="F433" s="40" t="s">
        <v>420</v>
      </c>
      <c r="G433" s="129">
        <v>620000</v>
      </c>
      <c r="H433" s="129">
        <v>511000</v>
      </c>
      <c r="I433" s="177">
        <v>60778.512999999999</v>
      </c>
      <c r="J433" s="129">
        <v>423295.62400000001</v>
      </c>
      <c r="K433" s="167">
        <f t="shared" si="161"/>
        <v>0.11894033855185909</v>
      </c>
      <c r="L433" s="168">
        <f t="shared" si="162"/>
        <v>1.7013356007166051E-3</v>
      </c>
    </row>
    <row r="434" spans="2:12" s="20" customFormat="1" x14ac:dyDescent="0.2">
      <c r="B434" s="385"/>
      <c r="C434" s="384"/>
      <c r="D434" s="384"/>
      <c r="E434" s="319" t="s">
        <v>335</v>
      </c>
      <c r="F434" s="319"/>
      <c r="G434" s="57">
        <f t="shared" ref="G434:J434" si="173">SUM(G433:G433)</f>
        <v>620000</v>
      </c>
      <c r="H434" s="57">
        <f t="shared" si="173"/>
        <v>511000</v>
      </c>
      <c r="I434" s="57">
        <f t="shared" si="173"/>
        <v>60778.512999999999</v>
      </c>
      <c r="J434" s="57">
        <f t="shared" si="173"/>
        <v>423295.62400000001</v>
      </c>
      <c r="K434" s="167">
        <f t="shared" si="161"/>
        <v>0.11894033855185909</v>
      </c>
      <c r="L434" s="168">
        <f t="shared" si="162"/>
        <v>1.7013356007166051E-3</v>
      </c>
    </row>
    <row r="435" spans="2:12" s="20" customFormat="1" x14ac:dyDescent="0.2">
      <c r="B435" s="385"/>
      <c r="C435" s="384"/>
      <c r="D435" s="384"/>
      <c r="E435" s="13">
        <v>27001001</v>
      </c>
      <c r="F435" s="40" t="s">
        <v>421</v>
      </c>
      <c r="G435" s="129">
        <v>884000</v>
      </c>
      <c r="H435" s="129">
        <v>884000</v>
      </c>
      <c r="I435" s="177">
        <v>64707.563000000002</v>
      </c>
      <c r="J435" s="129">
        <v>582664.179</v>
      </c>
      <c r="K435" s="167">
        <f t="shared" si="161"/>
        <v>7.3198600678733031E-2</v>
      </c>
      <c r="L435" s="168">
        <f t="shared" si="162"/>
        <v>1.8113190852088233E-3</v>
      </c>
    </row>
    <row r="436" spans="2:12" s="20" customFormat="1" x14ac:dyDescent="0.2">
      <c r="B436" s="385"/>
      <c r="C436" s="384"/>
      <c r="D436" s="384"/>
      <c r="E436" s="330" t="s">
        <v>336</v>
      </c>
      <c r="F436" s="330"/>
      <c r="G436" s="52">
        <f t="shared" ref="G436" si="174">SUM(G435)</f>
        <v>884000</v>
      </c>
      <c r="H436" s="52">
        <f t="shared" ref="H436:J436" si="175">SUM(H435)</f>
        <v>884000</v>
      </c>
      <c r="I436" s="52">
        <f t="shared" si="175"/>
        <v>64707.563000000002</v>
      </c>
      <c r="J436" s="52">
        <f t="shared" si="175"/>
        <v>582664.179</v>
      </c>
      <c r="K436" s="167">
        <f t="shared" si="161"/>
        <v>7.3198600678733031E-2</v>
      </c>
      <c r="L436" s="168">
        <f t="shared" si="162"/>
        <v>1.8113190852088233E-3</v>
      </c>
    </row>
    <row r="437" spans="2:12" s="20" customFormat="1" x14ac:dyDescent="0.2">
      <c r="B437" s="361" t="s">
        <v>334</v>
      </c>
      <c r="C437" s="361"/>
      <c r="D437" s="361"/>
      <c r="E437" s="361"/>
      <c r="F437" s="361"/>
      <c r="G437" s="49">
        <f t="shared" ref="G437" si="176">G432+G434+G436</f>
        <v>2654000</v>
      </c>
      <c r="H437" s="49">
        <f t="shared" ref="H437:J437" si="177">H432+H434+H436</f>
        <v>2545000</v>
      </c>
      <c r="I437" s="49">
        <f t="shared" si="177"/>
        <v>627710.07900000003</v>
      </c>
      <c r="J437" s="49">
        <f t="shared" si="177"/>
        <v>1606918.412</v>
      </c>
      <c r="K437" s="167">
        <f t="shared" si="161"/>
        <v>0.24664443182711199</v>
      </c>
      <c r="L437" s="168">
        <f t="shared" si="162"/>
        <v>1.7571102872018813E-2</v>
      </c>
    </row>
    <row r="438" spans="2:12" s="20" customFormat="1" x14ac:dyDescent="0.2">
      <c r="B438" s="405" t="s">
        <v>524</v>
      </c>
      <c r="C438" s="405"/>
      <c r="D438" s="405"/>
      <c r="E438" s="405"/>
      <c r="F438" s="405"/>
      <c r="G438" s="81">
        <f>G9+G22+G26+G32+G36+G42+G48+G53+G60+G69+G80+G87+G96+G101+G127+G132+G113+G136+G144+G117+G151+G166+G186+G202+G210+G219+G222+G226+G229+G237+G241+G245+G249+G259+G272+G277+G286+G310+G327+G215+G332+G336+G340+G345+G352+G355+G362+G376+G384+G391+G408+G430+G437</f>
        <v>35724000</v>
      </c>
      <c r="H438" s="81">
        <f>H9+H22+H26+H32+H36+H42+H48+H53+H60+H69+H80+H87+H96+H101+H127+H132+H113+H136+H144+H117+H151+H166+H186+H202+H210+H219+H222+H226+H229+H237+H241+H245+H249+H259+H272+H277+H286+H310+H327+H215+H332+H336+H340+H345+H352+H355+H362+H376+H384+H391+H408+H430+H437</f>
        <v>35724000</v>
      </c>
      <c r="I438" s="81">
        <f>I9+I22+I26+I32+I36+I42+I48+I53+I60+I69+I80+I87+I96+I101+I127+I132+I113+I136+I144+I117+I151+I166+I186+I202+I210+I219+I222+I226+I229+I237+I241+I245+I249+I259+I272+I277+I286+I310+I327+I215+I332+I336+I340+I345+I352+I355+I362+I376+I384+I391+I408+I430+I437</f>
        <v>27676612.609000001</v>
      </c>
      <c r="J438" s="81">
        <f>J9+J22+J26+J32+J36+J42+J48+J53+J60+J69+J80+J87+J96+J101+J127+J132+J113+J136+J144+J117+J151+J166+J186+J202+J210+J219+J222+J226+J229+J237+J241+J245+J249+J259+J272+J277+J286+J310+J327+J215+J332+J336+J340+J345+J352+J355+J362+J376+J384+J391+J408+J430+J437</f>
        <v>2902086.4960000003</v>
      </c>
      <c r="K438" s="167">
        <f>IFERROR(I438/H438,"")</f>
        <v>0.77473442528832159</v>
      </c>
      <c r="L438" s="168">
        <f t="shared" si="162"/>
        <v>0.77473442528832159</v>
      </c>
    </row>
    <row r="439" spans="2:12" s="20" customFormat="1" x14ac:dyDescent="0.2">
      <c r="B439" s="417"/>
      <c r="C439" s="418"/>
      <c r="D439" s="418"/>
      <c r="E439" s="418"/>
      <c r="F439" s="418"/>
      <c r="G439" s="418"/>
      <c r="H439" s="418"/>
      <c r="I439" s="418"/>
      <c r="J439" s="418"/>
      <c r="K439" s="418"/>
      <c r="L439" s="419"/>
    </row>
    <row r="440" spans="2:12" s="20" customFormat="1" x14ac:dyDescent="0.2">
      <c r="B440" s="315" t="s">
        <v>516</v>
      </c>
      <c r="C440" s="315"/>
      <c r="D440" s="315"/>
      <c r="E440" s="315"/>
      <c r="F440" s="315"/>
      <c r="G440" s="421">
        <v>2020</v>
      </c>
      <c r="H440" s="422"/>
      <c r="I440" s="422"/>
      <c r="J440" s="422"/>
      <c r="K440" s="422"/>
      <c r="L440" s="423"/>
    </row>
    <row r="441" spans="2:12" s="20" customFormat="1" hidden="1" x14ac:dyDescent="0.2">
      <c r="B441" s="169"/>
      <c r="C441" s="169"/>
      <c r="D441" s="169"/>
      <c r="E441" s="169"/>
      <c r="F441" s="169"/>
      <c r="G441" s="172"/>
      <c r="H441" s="173"/>
      <c r="I441" s="173"/>
      <c r="J441" s="173"/>
      <c r="K441" s="173"/>
      <c r="L441" s="174"/>
    </row>
    <row r="442" spans="2:12" s="20" customFormat="1" x14ac:dyDescent="0.2">
      <c r="B442" s="426" t="s">
        <v>516</v>
      </c>
      <c r="C442" s="401">
        <v>91</v>
      </c>
      <c r="D442" s="401">
        <v>10</v>
      </c>
      <c r="E442" s="23">
        <v>27201001</v>
      </c>
      <c r="F442" s="80" t="s">
        <v>531</v>
      </c>
      <c r="G442" s="129">
        <v>1900000</v>
      </c>
      <c r="H442" s="129">
        <v>1900000</v>
      </c>
      <c r="I442" s="177"/>
      <c r="J442" s="129">
        <v>0</v>
      </c>
      <c r="K442" s="167">
        <f>IFERROR(I442/H442,"")</f>
        <v>0</v>
      </c>
      <c r="L442" s="168">
        <f>IFERROR(I442/$H$446,"")</f>
        <v>0</v>
      </c>
    </row>
    <row r="443" spans="2:12" s="20" customFormat="1" x14ac:dyDescent="0.2">
      <c r="B443" s="426"/>
      <c r="C443" s="401"/>
      <c r="D443" s="401"/>
      <c r="E443" s="23">
        <v>27201002</v>
      </c>
      <c r="F443" s="80" t="s">
        <v>569</v>
      </c>
      <c r="G443" s="129">
        <v>500000</v>
      </c>
      <c r="H443" s="129">
        <v>500000</v>
      </c>
      <c r="I443" s="177"/>
      <c r="J443" s="129">
        <v>0</v>
      </c>
      <c r="K443" s="167">
        <f t="shared" si="161"/>
        <v>0</v>
      </c>
      <c r="L443" s="168">
        <f t="shared" ref="L443:L446" si="178">IFERROR(I443/$H$446,"")</f>
        <v>0</v>
      </c>
    </row>
    <row r="444" spans="2:12" s="20" customFormat="1" x14ac:dyDescent="0.2">
      <c r="B444" s="426"/>
      <c r="C444" s="401"/>
      <c r="D444" s="401"/>
      <c r="E444" s="23">
        <v>28001001</v>
      </c>
      <c r="F444" s="80" t="s">
        <v>793</v>
      </c>
      <c r="G444" s="129">
        <v>5314000</v>
      </c>
      <c r="H444" s="129">
        <v>5314000</v>
      </c>
      <c r="I444" s="177">
        <f>'ر-فرعي'!G148</f>
        <v>107525.73000000417</v>
      </c>
      <c r="J444" s="129">
        <v>0</v>
      </c>
      <c r="K444" s="167">
        <f t="shared" si="161"/>
        <v>2.0234424162590171E-2</v>
      </c>
      <c r="L444" s="168">
        <f t="shared" si="178"/>
        <v>4.6568094413167683E-3</v>
      </c>
    </row>
    <row r="445" spans="2:12" s="20" customFormat="1" x14ac:dyDescent="0.2">
      <c r="B445" s="426"/>
      <c r="C445" s="401"/>
      <c r="D445" s="401"/>
      <c r="E445" s="23">
        <v>28101006</v>
      </c>
      <c r="F445" s="80" t="s">
        <v>565</v>
      </c>
      <c r="G445" s="129">
        <v>15376000</v>
      </c>
      <c r="H445" s="129">
        <v>15376000</v>
      </c>
      <c r="I445" s="177">
        <v>15375481.875</v>
      </c>
      <c r="J445" s="129">
        <v>0</v>
      </c>
      <c r="K445" s="167">
        <f t="shared" si="161"/>
        <v>0.99996630300468259</v>
      </c>
      <c r="L445" s="168">
        <f t="shared" si="178"/>
        <v>0.66589354157643998</v>
      </c>
    </row>
    <row r="446" spans="2:12" s="20" customFormat="1" x14ac:dyDescent="0.2">
      <c r="B446" s="332" t="s">
        <v>525</v>
      </c>
      <c r="C446" s="332"/>
      <c r="D446" s="332"/>
      <c r="E446" s="332"/>
      <c r="F446" s="332"/>
      <c r="G446" s="64">
        <f>SUM(G442:G445)</f>
        <v>23090000</v>
      </c>
      <c r="H446" s="64">
        <f>SUM(H442:H445)</f>
        <v>23090000</v>
      </c>
      <c r="I446" s="64">
        <f>SUM(I442:I445)</f>
        <v>15483007.605000004</v>
      </c>
      <c r="J446" s="64">
        <f>SUM(J442:J445)</f>
        <v>0</v>
      </c>
      <c r="K446" s="167">
        <f t="shared" si="161"/>
        <v>0.67055035101775684</v>
      </c>
      <c r="L446" s="168">
        <f t="shared" si="178"/>
        <v>0.67055035101775684</v>
      </c>
    </row>
    <row r="447" spans="2:12" s="20" customFormat="1" x14ac:dyDescent="0.2">
      <c r="B447" s="417"/>
      <c r="C447" s="418"/>
      <c r="D447" s="418"/>
      <c r="E447" s="418"/>
      <c r="F447" s="418"/>
      <c r="G447" s="418"/>
      <c r="H447" s="418"/>
      <c r="I447" s="418"/>
      <c r="J447" s="418"/>
      <c r="K447" s="418"/>
      <c r="L447" s="419"/>
    </row>
    <row r="448" spans="2:12" s="20" customFormat="1" x14ac:dyDescent="0.2">
      <c r="B448" s="315" t="s">
        <v>526</v>
      </c>
      <c r="C448" s="315"/>
      <c r="D448" s="315"/>
      <c r="E448" s="315"/>
      <c r="F448" s="315"/>
      <c r="G448" s="421">
        <f>G3</f>
        <v>2020</v>
      </c>
      <c r="H448" s="422"/>
      <c r="I448" s="422"/>
      <c r="J448" s="422"/>
      <c r="K448" s="422"/>
      <c r="L448" s="423"/>
    </row>
    <row r="449" spans="2:12" s="20" customFormat="1" x14ac:dyDescent="0.2">
      <c r="B449" s="396" t="s">
        <v>394</v>
      </c>
      <c r="C449" s="397">
        <v>91</v>
      </c>
      <c r="D449" s="397">
        <v>11</v>
      </c>
      <c r="E449" s="13">
        <v>29301002</v>
      </c>
      <c r="F449" s="40" t="s">
        <v>510</v>
      </c>
      <c r="G449" s="129">
        <v>500000</v>
      </c>
      <c r="H449" s="129">
        <v>500000</v>
      </c>
      <c r="I449" s="177"/>
      <c r="J449" s="129">
        <v>261649.818</v>
      </c>
      <c r="K449" s="167">
        <f>IFERROR(I449/G449,"")</f>
        <v>0</v>
      </c>
      <c r="L449" s="168">
        <f>IFERROR(I449/$G$465,"")</f>
        <v>0</v>
      </c>
    </row>
    <row r="450" spans="2:12" s="20" customFormat="1" x14ac:dyDescent="0.2">
      <c r="B450" s="396"/>
      <c r="C450" s="397"/>
      <c r="D450" s="397"/>
      <c r="E450" s="95">
        <v>29301006</v>
      </c>
      <c r="F450" s="78" t="s">
        <v>511</v>
      </c>
      <c r="G450" s="129">
        <v>1500000</v>
      </c>
      <c r="H450" s="129">
        <v>1500000</v>
      </c>
      <c r="I450" s="177"/>
      <c r="J450" s="129">
        <v>0</v>
      </c>
      <c r="K450" s="167">
        <f t="shared" ref="K450:K465" si="179">IFERROR(I450/G450,"")</f>
        <v>0</v>
      </c>
      <c r="L450" s="168">
        <f t="shared" ref="L450:L465" si="180">IFERROR(I450/$G$465,"")</f>
        <v>0</v>
      </c>
    </row>
    <row r="451" spans="2:12" s="20" customFormat="1" x14ac:dyDescent="0.2">
      <c r="B451" s="396"/>
      <c r="C451" s="397"/>
      <c r="D451" s="397"/>
      <c r="E451" s="13">
        <v>29301019</v>
      </c>
      <c r="F451" s="40" t="s">
        <v>512</v>
      </c>
      <c r="G451" s="129">
        <v>400000</v>
      </c>
      <c r="H451" s="129">
        <v>400000</v>
      </c>
      <c r="I451" s="177">
        <v>297425</v>
      </c>
      <c r="J451" s="129">
        <v>1558.116</v>
      </c>
      <c r="K451" s="167">
        <f t="shared" si="179"/>
        <v>0.74356250000000002</v>
      </c>
      <c r="L451" s="168">
        <f t="shared" si="180"/>
        <v>3.4991176470588234E-2</v>
      </c>
    </row>
    <row r="452" spans="2:12" s="20" customFormat="1" x14ac:dyDescent="0.2">
      <c r="B452" s="396"/>
      <c r="C452" s="397"/>
      <c r="D452" s="397"/>
      <c r="E452" s="13">
        <v>29301021</v>
      </c>
      <c r="F452" s="40" t="s">
        <v>513</v>
      </c>
      <c r="G452" s="129">
        <v>1000000</v>
      </c>
      <c r="H452" s="129">
        <v>135000</v>
      </c>
      <c r="I452" s="177"/>
      <c r="J452" s="129">
        <v>0</v>
      </c>
      <c r="K452" s="167">
        <f t="shared" si="179"/>
        <v>0</v>
      </c>
      <c r="L452" s="168">
        <f t="shared" si="180"/>
        <v>0</v>
      </c>
    </row>
    <row r="453" spans="2:12" s="20" customFormat="1" x14ac:dyDescent="0.2">
      <c r="B453" s="396"/>
      <c r="C453" s="397"/>
      <c r="D453" s="397"/>
      <c r="E453" s="23">
        <v>29301023</v>
      </c>
      <c r="F453" s="80" t="s">
        <v>432</v>
      </c>
      <c r="G453" s="129">
        <v>75000</v>
      </c>
      <c r="H453" s="129">
        <v>75000</v>
      </c>
      <c r="I453" s="177"/>
      <c r="J453" s="129">
        <v>0</v>
      </c>
      <c r="K453" s="167">
        <f t="shared" si="179"/>
        <v>0</v>
      </c>
      <c r="L453" s="168">
        <f t="shared" si="180"/>
        <v>0</v>
      </c>
    </row>
    <row r="454" spans="2:12" s="20" customFormat="1" x14ac:dyDescent="0.2">
      <c r="B454" s="396"/>
      <c r="C454" s="397"/>
      <c r="D454" s="397"/>
      <c r="E454" s="23">
        <v>29301026</v>
      </c>
      <c r="F454" s="80" t="s">
        <v>433</v>
      </c>
      <c r="G454" s="129">
        <v>3000000</v>
      </c>
      <c r="H454" s="129">
        <v>3000000</v>
      </c>
      <c r="I454" s="177"/>
      <c r="J454" s="129">
        <v>0</v>
      </c>
      <c r="K454" s="167">
        <f t="shared" si="179"/>
        <v>0</v>
      </c>
      <c r="L454" s="168">
        <f t="shared" si="180"/>
        <v>0</v>
      </c>
    </row>
    <row r="455" spans="2:12" s="20" customFormat="1" x14ac:dyDescent="0.2">
      <c r="B455" s="396"/>
      <c r="C455" s="397"/>
      <c r="D455" s="397"/>
      <c r="E455" s="23">
        <v>29301027</v>
      </c>
      <c r="F455" s="80" t="s">
        <v>434</v>
      </c>
      <c r="G455" s="129">
        <v>180000</v>
      </c>
      <c r="H455" s="129">
        <v>180000</v>
      </c>
      <c r="I455" s="177"/>
      <c r="J455" s="129">
        <v>0</v>
      </c>
      <c r="K455" s="167">
        <f t="shared" si="179"/>
        <v>0</v>
      </c>
      <c r="L455" s="168">
        <f t="shared" si="180"/>
        <v>0</v>
      </c>
    </row>
    <row r="456" spans="2:12" s="20" customFormat="1" x14ac:dyDescent="0.2">
      <c r="B456" s="396"/>
      <c r="C456" s="397"/>
      <c r="D456" s="397"/>
      <c r="E456" s="23">
        <v>29302001</v>
      </c>
      <c r="F456" s="80" t="s">
        <v>322</v>
      </c>
      <c r="G456" s="129">
        <v>100000</v>
      </c>
      <c r="H456" s="129">
        <v>100000</v>
      </c>
      <c r="I456" s="177"/>
      <c r="J456" s="129">
        <v>14000</v>
      </c>
      <c r="K456" s="167">
        <f t="shared" si="179"/>
        <v>0</v>
      </c>
      <c r="L456" s="168">
        <f t="shared" si="180"/>
        <v>0</v>
      </c>
    </row>
    <row r="457" spans="2:12" s="20" customFormat="1" x14ac:dyDescent="0.2">
      <c r="B457" s="396"/>
      <c r="C457" s="397"/>
      <c r="D457" s="397"/>
      <c r="E457" s="23">
        <v>29302002</v>
      </c>
      <c r="F457" s="80" t="s">
        <v>323</v>
      </c>
      <c r="G457" s="129">
        <v>100000</v>
      </c>
      <c r="H457" s="129">
        <v>100000</v>
      </c>
      <c r="I457" s="177"/>
      <c r="J457" s="129">
        <v>0</v>
      </c>
      <c r="K457" s="167">
        <f t="shared" si="179"/>
        <v>0</v>
      </c>
      <c r="L457" s="168">
        <f t="shared" si="180"/>
        <v>0</v>
      </c>
    </row>
    <row r="458" spans="2:12" s="20" customFormat="1" x14ac:dyDescent="0.2">
      <c r="B458" s="396"/>
      <c r="C458" s="397"/>
      <c r="D458" s="397"/>
      <c r="E458" s="23">
        <v>29302003</v>
      </c>
      <c r="F458" s="80" t="s">
        <v>324</v>
      </c>
      <c r="G458" s="129">
        <v>100000</v>
      </c>
      <c r="H458" s="129">
        <v>100000</v>
      </c>
      <c r="I458" s="177"/>
      <c r="J458" s="129">
        <v>0</v>
      </c>
      <c r="K458" s="167">
        <f t="shared" si="179"/>
        <v>0</v>
      </c>
      <c r="L458" s="168">
        <f t="shared" si="180"/>
        <v>0</v>
      </c>
    </row>
    <row r="459" spans="2:12" s="20" customFormat="1" x14ac:dyDescent="0.2">
      <c r="B459" s="396"/>
      <c r="C459" s="397"/>
      <c r="D459" s="397"/>
      <c r="E459" s="23">
        <v>29302004</v>
      </c>
      <c r="F459" s="80" t="s">
        <v>325</v>
      </c>
      <c r="G459" s="129">
        <v>100000</v>
      </c>
      <c r="H459" s="129">
        <v>100000</v>
      </c>
      <c r="I459" s="177"/>
      <c r="J459" s="129">
        <v>75000</v>
      </c>
      <c r="K459" s="167">
        <f t="shared" si="179"/>
        <v>0</v>
      </c>
      <c r="L459" s="168">
        <f t="shared" si="180"/>
        <v>0</v>
      </c>
    </row>
    <row r="460" spans="2:12" s="20" customFormat="1" x14ac:dyDescent="0.2">
      <c r="B460" s="396"/>
      <c r="C460" s="397"/>
      <c r="D460" s="397"/>
      <c r="E460" s="23">
        <v>29302005</v>
      </c>
      <c r="F460" s="80" t="s">
        <v>440</v>
      </c>
      <c r="G460" s="129">
        <v>100000</v>
      </c>
      <c r="H460" s="129">
        <v>100000</v>
      </c>
      <c r="I460" s="177">
        <v>40304</v>
      </c>
      <c r="J460" s="129">
        <v>50001</v>
      </c>
      <c r="K460" s="167">
        <f t="shared" si="179"/>
        <v>0.40304000000000001</v>
      </c>
      <c r="L460" s="168">
        <f t="shared" si="180"/>
        <v>4.7416470588235293E-3</v>
      </c>
    </row>
    <row r="461" spans="2:12" s="20" customFormat="1" x14ac:dyDescent="0.2">
      <c r="B461" s="396"/>
      <c r="C461" s="397"/>
      <c r="D461" s="397"/>
      <c r="E461" s="23">
        <v>29302006</v>
      </c>
      <c r="F461" s="80" t="s">
        <v>445</v>
      </c>
      <c r="G461" s="129">
        <v>1000000</v>
      </c>
      <c r="H461" s="129">
        <v>1000000</v>
      </c>
      <c r="I461" s="177"/>
      <c r="J461" s="129">
        <v>0</v>
      </c>
      <c r="K461" s="167">
        <f t="shared" si="179"/>
        <v>0</v>
      </c>
      <c r="L461" s="168">
        <f t="shared" si="180"/>
        <v>0</v>
      </c>
    </row>
    <row r="462" spans="2:12" s="20" customFormat="1" x14ac:dyDescent="0.2">
      <c r="B462" s="396"/>
      <c r="C462" s="397"/>
      <c r="D462" s="397"/>
      <c r="E462" s="23">
        <v>29302007</v>
      </c>
      <c r="F462" s="78" t="s">
        <v>514</v>
      </c>
      <c r="G462" s="129">
        <v>200000</v>
      </c>
      <c r="H462" s="129">
        <v>200000</v>
      </c>
      <c r="I462" s="177"/>
      <c r="J462" s="129">
        <v>0</v>
      </c>
      <c r="K462" s="167">
        <f t="shared" si="179"/>
        <v>0</v>
      </c>
      <c r="L462" s="168">
        <f t="shared" si="180"/>
        <v>0</v>
      </c>
    </row>
    <row r="463" spans="2:12" s="20" customFormat="1" x14ac:dyDescent="0.2">
      <c r="B463" s="396"/>
      <c r="C463" s="397"/>
      <c r="D463" s="397"/>
      <c r="E463" s="23">
        <v>29302008</v>
      </c>
      <c r="F463" s="78" t="s">
        <v>492</v>
      </c>
      <c r="G463" s="129">
        <v>75000</v>
      </c>
      <c r="H463" s="129">
        <v>75000</v>
      </c>
      <c r="I463" s="177"/>
      <c r="J463" s="129">
        <v>0</v>
      </c>
      <c r="K463" s="167">
        <f t="shared" si="179"/>
        <v>0</v>
      </c>
      <c r="L463" s="168">
        <f t="shared" si="180"/>
        <v>0</v>
      </c>
    </row>
    <row r="464" spans="2:12" s="20" customFormat="1" x14ac:dyDescent="0.2">
      <c r="B464" s="396"/>
      <c r="C464" s="397"/>
      <c r="D464" s="397"/>
      <c r="E464" s="23">
        <v>29302009</v>
      </c>
      <c r="F464" s="78" t="s">
        <v>515</v>
      </c>
      <c r="G464" s="129">
        <v>70000</v>
      </c>
      <c r="H464" s="129">
        <v>70000</v>
      </c>
      <c r="I464" s="177"/>
      <c r="J464" s="129">
        <v>25800</v>
      </c>
      <c r="K464" s="167">
        <f t="shared" si="179"/>
        <v>0</v>
      </c>
      <c r="L464" s="168">
        <f t="shared" si="180"/>
        <v>0</v>
      </c>
    </row>
    <row r="465" spans="2:13" s="20" customFormat="1" x14ac:dyDescent="0.2">
      <c r="B465" s="395" t="s">
        <v>527</v>
      </c>
      <c r="C465" s="395"/>
      <c r="D465" s="395"/>
      <c r="E465" s="395"/>
      <c r="F465" s="395"/>
      <c r="G465" s="51">
        <f>SUM(G449:G464)</f>
        <v>8500000</v>
      </c>
      <c r="H465" s="51">
        <f t="shared" ref="H465:J465" si="181">SUM(H449:H464)</f>
        <v>7635000</v>
      </c>
      <c r="I465" s="51">
        <f t="shared" si="181"/>
        <v>337729</v>
      </c>
      <c r="J465" s="51">
        <f t="shared" si="181"/>
        <v>428008.93400000001</v>
      </c>
      <c r="K465" s="167">
        <f t="shared" si="179"/>
        <v>3.9732823529411765E-2</v>
      </c>
      <c r="L465" s="168">
        <f t="shared" si="180"/>
        <v>3.9732823529411765E-2</v>
      </c>
    </row>
    <row r="466" spans="2:13" s="20" customFormat="1" x14ac:dyDescent="0.2">
      <c r="B466" s="389" t="s">
        <v>443</v>
      </c>
      <c r="C466" s="392">
        <v>91</v>
      </c>
      <c r="D466" s="392">
        <v>11</v>
      </c>
      <c r="E466" s="13">
        <v>29401001</v>
      </c>
      <c r="F466" s="131" t="s">
        <v>495</v>
      </c>
      <c r="G466" s="130">
        <v>50000</v>
      </c>
      <c r="H466" s="130">
        <v>50000</v>
      </c>
      <c r="I466" s="177">
        <v>32413</v>
      </c>
      <c r="J466" s="129">
        <v>0</v>
      </c>
      <c r="K466" s="167">
        <f>IFERROR(I466/G466,"")</f>
        <v>0.64825999999999995</v>
      </c>
      <c r="L466" s="168">
        <f>IFERROR(I466/$G$475,"")</f>
        <v>2.1608666666666668E-2</v>
      </c>
    </row>
    <row r="467" spans="2:13" s="20" customFormat="1" x14ac:dyDescent="0.2">
      <c r="B467" s="390"/>
      <c r="C467" s="393"/>
      <c r="D467" s="393"/>
      <c r="E467" s="13">
        <v>29401002</v>
      </c>
      <c r="F467" s="131" t="s">
        <v>499</v>
      </c>
      <c r="G467" s="130">
        <v>100000</v>
      </c>
      <c r="H467" s="130">
        <v>115000</v>
      </c>
      <c r="I467" s="177">
        <v>114407.4</v>
      </c>
      <c r="J467" s="129">
        <v>0</v>
      </c>
      <c r="K467" s="167">
        <f t="shared" ref="K467:K476" si="182">IFERROR(I467/G467,"")</f>
        <v>1.144074</v>
      </c>
      <c r="L467" s="168">
        <f t="shared" ref="L467:L475" si="183">IFERROR(I467/$G$475,"")</f>
        <v>7.6271599999999995E-2</v>
      </c>
    </row>
    <row r="468" spans="2:13" s="20" customFormat="1" x14ac:dyDescent="0.2">
      <c r="B468" s="390"/>
      <c r="C468" s="393"/>
      <c r="D468" s="393"/>
      <c r="E468" s="13">
        <v>29401003</v>
      </c>
      <c r="F468" s="131" t="s">
        <v>497</v>
      </c>
      <c r="G468" s="130">
        <v>20000</v>
      </c>
      <c r="H468" s="130">
        <v>19000</v>
      </c>
      <c r="I468" s="177">
        <v>15145.2</v>
      </c>
      <c r="J468" s="129">
        <v>0</v>
      </c>
      <c r="K468" s="167">
        <f t="shared" si="182"/>
        <v>0.75726000000000004</v>
      </c>
      <c r="L468" s="168">
        <f t="shared" si="183"/>
        <v>1.0096800000000001E-2</v>
      </c>
    </row>
    <row r="469" spans="2:13" s="20" customFormat="1" x14ac:dyDescent="0.2">
      <c r="B469" s="390"/>
      <c r="C469" s="393"/>
      <c r="D469" s="393"/>
      <c r="E469" s="13">
        <v>29401004</v>
      </c>
      <c r="F469" s="131" t="s">
        <v>494</v>
      </c>
      <c r="G469" s="129">
        <v>100000</v>
      </c>
      <c r="H469" s="129">
        <v>100000</v>
      </c>
      <c r="I469" s="177">
        <v>96174</v>
      </c>
      <c r="J469" s="129">
        <v>0</v>
      </c>
      <c r="K469" s="167">
        <f t="shared" si="182"/>
        <v>0.96174000000000004</v>
      </c>
      <c r="L469" s="168">
        <f t="shared" si="183"/>
        <v>6.4116000000000006E-2</v>
      </c>
    </row>
    <row r="470" spans="2:13" s="20" customFormat="1" ht="14.25" customHeight="1" x14ac:dyDescent="0.2">
      <c r="B470" s="390"/>
      <c r="C470" s="393"/>
      <c r="D470" s="393"/>
      <c r="E470" s="95">
        <v>29401005</v>
      </c>
      <c r="F470" s="131" t="s">
        <v>529</v>
      </c>
      <c r="G470" s="129">
        <v>10000</v>
      </c>
      <c r="H470" s="129">
        <v>10000</v>
      </c>
      <c r="I470" s="177">
        <v>3860</v>
      </c>
      <c r="J470" s="129">
        <v>0</v>
      </c>
      <c r="K470" s="167">
        <f t="shared" si="182"/>
        <v>0.38600000000000001</v>
      </c>
      <c r="L470" s="168">
        <f t="shared" si="183"/>
        <v>2.5733333333333333E-3</v>
      </c>
    </row>
    <row r="471" spans="2:13" s="20" customFormat="1" x14ac:dyDescent="0.2">
      <c r="B471" s="390"/>
      <c r="C471" s="393"/>
      <c r="D471" s="393"/>
      <c r="E471" s="95">
        <v>29402001</v>
      </c>
      <c r="F471" s="131" t="s">
        <v>496</v>
      </c>
      <c r="G471" s="130">
        <v>1160000</v>
      </c>
      <c r="H471" s="130">
        <v>1876000</v>
      </c>
      <c r="I471" s="177">
        <v>1841547</v>
      </c>
      <c r="J471" s="129">
        <v>0</v>
      </c>
      <c r="K471" s="167">
        <f t="shared" si="182"/>
        <v>1.5875405172413792</v>
      </c>
      <c r="L471" s="168">
        <f t="shared" si="183"/>
        <v>1.227698</v>
      </c>
    </row>
    <row r="472" spans="2:13" s="20" customFormat="1" x14ac:dyDescent="0.2">
      <c r="B472" s="390"/>
      <c r="C472" s="393"/>
      <c r="D472" s="393"/>
      <c r="E472" s="95">
        <v>29402002</v>
      </c>
      <c r="F472" s="131" t="s">
        <v>500</v>
      </c>
      <c r="G472" s="130">
        <v>20000</v>
      </c>
      <c r="H472" s="130">
        <v>130000</v>
      </c>
      <c r="I472" s="177">
        <v>18172.5</v>
      </c>
      <c r="J472" s="129">
        <v>0</v>
      </c>
      <c r="K472" s="167">
        <f t="shared" si="182"/>
        <v>0.90862500000000002</v>
      </c>
      <c r="L472" s="168">
        <f t="shared" si="183"/>
        <v>1.2115000000000001E-2</v>
      </c>
    </row>
    <row r="473" spans="2:13" s="20" customFormat="1" x14ac:dyDescent="0.2">
      <c r="B473" s="390"/>
      <c r="C473" s="393"/>
      <c r="D473" s="393"/>
      <c r="E473" s="95">
        <v>29402003</v>
      </c>
      <c r="F473" s="131" t="s">
        <v>498</v>
      </c>
      <c r="G473" s="130">
        <v>25000</v>
      </c>
      <c r="H473" s="130">
        <v>48000</v>
      </c>
      <c r="I473" s="177">
        <v>31486.5</v>
      </c>
      <c r="J473" s="129">
        <v>0</v>
      </c>
      <c r="K473" s="167">
        <f t="shared" si="182"/>
        <v>1.25946</v>
      </c>
      <c r="L473" s="168">
        <f t="shared" si="183"/>
        <v>2.0990999999999999E-2</v>
      </c>
    </row>
    <row r="474" spans="2:13" s="20" customFormat="1" x14ac:dyDescent="0.2">
      <c r="B474" s="391"/>
      <c r="C474" s="394"/>
      <c r="D474" s="394"/>
      <c r="E474" s="13">
        <v>29402005</v>
      </c>
      <c r="F474" s="131" t="s">
        <v>493</v>
      </c>
      <c r="G474" s="129">
        <v>15000</v>
      </c>
      <c r="H474" s="129">
        <v>17000</v>
      </c>
      <c r="I474" s="177">
        <v>12780</v>
      </c>
      <c r="J474" s="129">
        <v>0</v>
      </c>
      <c r="K474" s="167">
        <f t="shared" si="182"/>
        <v>0.85199999999999998</v>
      </c>
      <c r="L474" s="168">
        <f t="shared" si="183"/>
        <v>8.5199999999999998E-3</v>
      </c>
    </row>
    <row r="475" spans="2:13" s="20" customFormat="1" x14ac:dyDescent="0.2">
      <c r="B475" s="395" t="s">
        <v>564</v>
      </c>
      <c r="C475" s="395"/>
      <c r="D475" s="395"/>
      <c r="E475" s="395"/>
      <c r="F475" s="395"/>
      <c r="G475" s="51">
        <f>SUM(G466:G474)</f>
        <v>1500000</v>
      </c>
      <c r="H475" s="51">
        <f t="shared" ref="H475:J475" si="184">SUM(H466:H474)</f>
        <v>2365000</v>
      </c>
      <c r="I475" s="51">
        <f t="shared" si="184"/>
        <v>2165985.6</v>
      </c>
      <c r="J475" s="51">
        <f t="shared" si="184"/>
        <v>0</v>
      </c>
      <c r="K475" s="167">
        <f t="shared" si="182"/>
        <v>1.4439904000000001</v>
      </c>
      <c r="L475" s="168">
        <f t="shared" si="183"/>
        <v>1.4439904000000001</v>
      </c>
    </row>
    <row r="476" spans="2:13" s="20" customFormat="1" x14ac:dyDescent="0.2">
      <c r="B476" s="336" t="s">
        <v>561</v>
      </c>
      <c r="C476" s="336"/>
      <c r="D476" s="336"/>
      <c r="E476" s="336"/>
      <c r="F476" s="336"/>
      <c r="G476" s="50">
        <f>G465+G475</f>
        <v>10000000</v>
      </c>
      <c r="H476" s="50">
        <f t="shared" ref="H476:J476" si="185">H465+H475</f>
        <v>10000000</v>
      </c>
      <c r="I476" s="50">
        <f t="shared" si="185"/>
        <v>2503714.6</v>
      </c>
      <c r="J476" s="50">
        <f t="shared" si="185"/>
        <v>428008.93400000001</v>
      </c>
      <c r="K476" s="167">
        <f t="shared" si="182"/>
        <v>0.25037145999999999</v>
      </c>
      <c r="L476" s="168">
        <f>IFERROR(I476/$G$476,"")</f>
        <v>0.25037145999999999</v>
      </c>
    </row>
    <row r="477" spans="2:13" s="20" customFormat="1" x14ac:dyDescent="0.2">
      <c r="B477" s="417"/>
      <c r="C477" s="418"/>
      <c r="D477" s="418"/>
      <c r="E477" s="418"/>
      <c r="F477" s="418"/>
      <c r="G477" s="418"/>
      <c r="H477" s="418"/>
      <c r="I477" s="418"/>
      <c r="J477" s="418"/>
      <c r="K477" s="418"/>
      <c r="L477" s="419"/>
    </row>
    <row r="478" spans="2:13" s="20" customFormat="1" x14ac:dyDescent="0.2">
      <c r="B478" s="315" t="s">
        <v>508</v>
      </c>
      <c r="C478" s="315"/>
      <c r="D478" s="315"/>
      <c r="E478" s="315"/>
      <c r="F478" s="315"/>
      <c r="G478" s="328">
        <f>G3</f>
        <v>2020</v>
      </c>
      <c r="H478" s="328"/>
      <c r="I478" s="328"/>
      <c r="J478" s="328"/>
      <c r="K478" s="328"/>
      <c r="L478" s="328"/>
    </row>
    <row r="479" spans="2:13" s="20" customFormat="1" x14ac:dyDescent="0.2">
      <c r="B479" s="403" t="s">
        <v>507</v>
      </c>
      <c r="C479" s="403"/>
      <c r="D479" s="403"/>
      <c r="E479" s="403"/>
      <c r="F479" s="403"/>
      <c r="G479" s="129">
        <f>G8+G15++G25+G29+G35+G39+G47+G52+G57+G65+G74+G84+G91+G100+G122+G131+G106+G135+G141+G147+G154+G181+G194+G207+G218+G221+G225+G228+G232+G240+G244+G248+G252+G266+G276+G280+G298+G318+G214+G331+G335+G339+G344+G349+G354+G358+G371+G383+G390+G407+G429+G432+G116</f>
        <v>31092000</v>
      </c>
      <c r="H479" s="129">
        <f>H8+H15++H25+H29+H35+H39+H47+H52+H57+H65+H74+H84+H91+H100+H122+H131+H106+H135+H141+H147+H154+H181+H194+H207+H218+H221+H225+H228+H232+H240+H244+H248+H252+H266+H276+H280+H298+H318+H214+H331+H335+H339+H344+H349+H354+H358+H371+H383+H390+H407+H429+H432+H116</f>
        <v>31092000</v>
      </c>
      <c r="I479" s="177">
        <f>I8+I15++I25+I29+I35+I39+I47+I52+I57+I65+I74+I84+I91+I100+I122+I131+I106+I135+I141+I147+I154+I181+I194+I207+I218+I221+I225+I228+I232+I240+I244+I248+I252+I266+I276+I280+I298+I318+I214+I331+I335+I339+I344+I349+I354+I358+I371+I383+I390+I407+I429+I432+I116</f>
        <v>25945527.291000001</v>
      </c>
      <c r="J479" s="129">
        <f>J8+J15++J25+J29+J35+J39+J47+J52+J57+J65+J74+J84+J91+J100+J122+J131+J106+J135+J141+J147+J154+J181+J194+J207+J218+J221+J225+J228+J232+J240+J244+J248+J252+J266+J276+J280+J298+J318+J214+J331+J335+J339+J344+J349+J354+J358+J371+J383+J390+J407+J429+J432+J116</f>
        <v>1482083.9550000001</v>
      </c>
      <c r="K479" s="167">
        <f t="shared" ref="K479:K484" si="186">IFERROR(I479/H479,"")</f>
        <v>0.83447598388653033</v>
      </c>
      <c r="L479" s="168">
        <f>IFERROR(I479/$H$483,"")</f>
        <v>0.72627721674504542</v>
      </c>
    </row>
    <row r="480" spans="2:13" s="20" customFormat="1" x14ac:dyDescent="0.2">
      <c r="B480" s="404" t="s">
        <v>506</v>
      </c>
      <c r="C480" s="404"/>
      <c r="D480" s="404"/>
      <c r="E480" s="404"/>
      <c r="F480" s="404"/>
      <c r="G480" s="130">
        <f>G17+G31+G41+G59+G68+G77+G95+G126+G110+G143+G150+G165+G209+G236+G283+G434+G268+G375</f>
        <v>2128500</v>
      </c>
      <c r="H480" s="130">
        <f>H17+H31+H41+H59+H68+H77+H95+H126+H110+H143+H150+H165+H209+H236+H283+H434+H268+H375</f>
        <v>2128500</v>
      </c>
      <c r="I480" s="177">
        <f>I17+I31+I41+I59+I68+I77+I95+I126+I110+I143+I150+I165+I209+I236+I283+I434+I268+I375</f>
        <v>1105651.8030000001</v>
      </c>
      <c r="J480" s="130">
        <f>J17+J31+J41+J59+J68+J77+J95+J126+J110+J143+J150+J165+J209+J236+J283+J434+J268+J375</f>
        <v>489397.52399999998</v>
      </c>
      <c r="K480" s="167">
        <f t="shared" si="186"/>
        <v>0.51945116420014092</v>
      </c>
      <c r="L480" s="168">
        <f t="shared" ref="L480:L482" si="187">IFERROR(I480/$H$483,"")</f>
        <v>3.0949832129660734E-2</v>
      </c>
      <c r="M480" s="168">
        <f>IFERROR(I480/'ر-فرعي'!G145,"")</f>
        <v>4.010476690260642E-2</v>
      </c>
    </row>
    <row r="481" spans="2:13" s="20" customFormat="1" x14ac:dyDescent="0.2">
      <c r="B481" s="402" t="s">
        <v>505</v>
      </c>
      <c r="C481" s="402"/>
      <c r="D481" s="402"/>
      <c r="E481" s="402"/>
      <c r="F481" s="402"/>
      <c r="G481" s="130">
        <f>G255</f>
        <v>310000</v>
      </c>
      <c r="H481" s="130">
        <f t="shared" ref="H481:J481" si="188">H255</f>
        <v>310000</v>
      </c>
      <c r="I481" s="177">
        <f t="shared" si="188"/>
        <v>309999.35200000001</v>
      </c>
      <c r="J481" s="130">
        <f t="shared" si="188"/>
        <v>0</v>
      </c>
      <c r="K481" s="167">
        <f t="shared" si="186"/>
        <v>0.99999790967741942</v>
      </c>
      <c r="L481" s="168">
        <f>IFERROR(I481/$H$483,"")</f>
        <v>8.6776215429403211E-3</v>
      </c>
      <c r="M481" s="168">
        <f>IFERROR(I481/'ر-فرعي'!G145,"")</f>
        <v>1.124445482581919E-2</v>
      </c>
    </row>
    <row r="482" spans="2:13" s="20" customFormat="1" x14ac:dyDescent="0.2">
      <c r="B482" s="406" t="s">
        <v>504</v>
      </c>
      <c r="C482" s="406"/>
      <c r="D482" s="406"/>
      <c r="E482" s="406"/>
      <c r="F482" s="406"/>
      <c r="G482" s="130">
        <f>G21+G86+G185+G201+G258+G271+G285+G309+G326+G351+G361+G436+G79+G112</f>
        <v>2193500</v>
      </c>
      <c r="H482" s="130">
        <f>H21+H86+H185+H201+H258+H271+H285+H309+H326+H351+H361+H436+H79+H112</f>
        <v>2193500</v>
      </c>
      <c r="I482" s="177">
        <f>I21+I86+I185+I201+I258+I271+I285+I309+I326+I351+I361+I436+I79+I112</f>
        <v>315434.163</v>
      </c>
      <c r="J482" s="130">
        <f>J21+J86+J185+J201+J258+J271+J285+J309+J326+J351+J361+J436+J79+J112</f>
        <v>930605.01699999999</v>
      </c>
      <c r="K482" s="167">
        <f t="shared" si="186"/>
        <v>0.14380404057442445</v>
      </c>
      <c r="L482" s="168">
        <f t="shared" si="187"/>
        <v>8.8297548706751765E-3</v>
      </c>
    </row>
    <row r="483" spans="2:13" s="20" customFormat="1" x14ac:dyDescent="0.2">
      <c r="B483" s="405" t="s">
        <v>524</v>
      </c>
      <c r="C483" s="405"/>
      <c r="D483" s="405"/>
      <c r="E483" s="405"/>
      <c r="F483" s="405"/>
      <c r="G483" s="81">
        <f>SUM(G479:G482)</f>
        <v>35724000</v>
      </c>
      <c r="H483" s="81">
        <f t="shared" ref="H483:J483" si="189">SUM(H479:H482)</f>
        <v>35724000</v>
      </c>
      <c r="I483" s="81">
        <f>SUM(I479:I482)</f>
        <v>27676612.609000001</v>
      </c>
      <c r="J483" s="81">
        <f t="shared" si="189"/>
        <v>2902086.4960000003</v>
      </c>
      <c r="K483" s="167">
        <f t="shared" si="186"/>
        <v>0.77473442528832159</v>
      </c>
      <c r="L483" s="168">
        <f>IFERROR(I483/$H$483,"")</f>
        <v>0.77473442528832159</v>
      </c>
    </row>
    <row r="484" spans="2:13" s="20" customFormat="1" x14ac:dyDescent="0.2">
      <c r="B484" s="332" t="s">
        <v>525</v>
      </c>
      <c r="C484" s="332"/>
      <c r="D484" s="332"/>
      <c r="E484" s="332"/>
      <c r="F484" s="332"/>
      <c r="G484" s="130">
        <f>G446</f>
        <v>23090000</v>
      </c>
      <c r="H484" s="130">
        <f t="shared" ref="H484:J484" si="190">H446</f>
        <v>23090000</v>
      </c>
      <c r="I484" s="177">
        <f t="shared" si="190"/>
        <v>15483007.605000004</v>
      </c>
      <c r="J484" s="130">
        <f t="shared" si="190"/>
        <v>0</v>
      </c>
      <c r="K484" s="167">
        <f t="shared" si="186"/>
        <v>0.67055035101775684</v>
      </c>
      <c r="L484" s="168">
        <f>IFERROR(I484/$H$484,"")</f>
        <v>0.67055035101775684</v>
      </c>
    </row>
    <row r="485" spans="2:13" s="20" customFormat="1" x14ac:dyDescent="0.2">
      <c r="B485" s="336" t="s">
        <v>571</v>
      </c>
      <c r="C485" s="336"/>
      <c r="D485" s="336"/>
      <c r="E485" s="336"/>
      <c r="F485" s="336"/>
      <c r="G485" s="129">
        <f>G465</f>
        <v>8500000</v>
      </c>
      <c r="H485" s="129">
        <f t="shared" ref="H485:J485" si="191">H465</f>
        <v>7635000</v>
      </c>
      <c r="I485" s="177">
        <f t="shared" si="191"/>
        <v>337729</v>
      </c>
      <c r="J485" s="129">
        <f t="shared" si="191"/>
        <v>428008.93400000001</v>
      </c>
      <c r="K485" s="167">
        <f>IFERROR(I485/G485,"")</f>
        <v>3.9732823529411765E-2</v>
      </c>
      <c r="L485" s="168">
        <f>IFERROR(I485/$G$485,"")</f>
        <v>3.9732823529411765E-2</v>
      </c>
    </row>
    <row r="486" spans="2:13" s="20" customFormat="1" x14ac:dyDescent="0.2">
      <c r="B486" s="336" t="s">
        <v>572</v>
      </c>
      <c r="C486" s="336"/>
      <c r="D486" s="336"/>
      <c r="E486" s="336"/>
      <c r="F486" s="336"/>
      <c r="G486" s="129">
        <f>G475</f>
        <v>1500000</v>
      </c>
      <c r="H486" s="129">
        <f t="shared" ref="H486:J486" si="192">H475</f>
        <v>2365000</v>
      </c>
      <c r="I486" s="177">
        <f t="shared" si="192"/>
        <v>2165985.6</v>
      </c>
      <c r="J486" s="129">
        <f t="shared" si="192"/>
        <v>0</v>
      </c>
      <c r="K486" s="167">
        <f>IFERROR(I486/G486,"")</f>
        <v>1.4439904000000001</v>
      </c>
      <c r="L486" s="168">
        <f>IFERROR(I486/$G$486,"")</f>
        <v>1.4439904000000001</v>
      </c>
    </row>
    <row r="487" spans="2:13" s="37" customFormat="1" x14ac:dyDescent="0.2">
      <c r="B487" s="67"/>
      <c r="C487" s="47"/>
      <c r="D487" s="47"/>
      <c r="E487" s="65"/>
      <c r="F487" s="67"/>
      <c r="G487" s="89">
        <f>G438-G483</f>
        <v>0</v>
      </c>
      <c r="H487" s="89">
        <f>H438-H483</f>
        <v>0</v>
      </c>
      <c r="I487" s="89">
        <f>I438-I483</f>
        <v>0</v>
      </c>
      <c r="J487" s="89">
        <f>J438-J483</f>
        <v>0</v>
      </c>
      <c r="K487" s="213"/>
      <c r="L487" s="213"/>
    </row>
    <row r="488" spans="2:13" x14ac:dyDescent="0.2">
      <c r="G488" s="89">
        <f>SUM(G483:G486)</f>
        <v>68814000</v>
      </c>
      <c r="H488" s="89">
        <f>SUM(H483:H486)</f>
        <v>68814000</v>
      </c>
      <c r="I488" s="89">
        <f>SUM(I483:I486)</f>
        <v>45663334.814000003</v>
      </c>
      <c r="J488" s="89">
        <f>SUM(J483:J486)</f>
        <v>3330095.43</v>
      </c>
      <c r="K488" s="213"/>
      <c r="L488" s="213"/>
    </row>
  </sheetData>
  <mergeCells count="335">
    <mergeCell ref="G3:L3"/>
    <mergeCell ref="G478:L478"/>
    <mergeCell ref="B477:L477"/>
    <mergeCell ref="B1:L1"/>
    <mergeCell ref="G440:L440"/>
    <mergeCell ref="B439:L439"/>
    <mergeCell ref="B447:L447"/>
    <mergeCell ref="G448:L448"/>
    <mergeCell ref="B113:F113"/>
    <mergeCell ref="B102:B112"/>
    <mergeCell ref="C102:C112"/>
    <mergeCell ref="C97:C100"/>
    <mergeCell ref="D97:D100"/>
    <mergeCell ref="E100:F100"/>
    <mergeCell ref="B97:B100"/>
    <mergeCell ref="B211:B214"/>
    <mergeCell ref="C211:C214"/>
    <mergeCell ref="D211:D214"/>
    <mergeCell ref="E214:F214"/>
    <mergeCell ref="B145:B150"/>
    <mergeCell ref="C145:C150"/>
    <mergeCell ref="D145:D150"/>
    <mergeCell ref="E147:F147"/>
    <mergeCell ref="B442:B445"/>
    <mergeCell ref="C377:C383"/>
    <mergeCell ref="D377:D383"/>
    <mergeCell ref="E383:F383"/>
    <mergeCell ref="B440:F440"/>
    <mergeCell ref="B437:F437"/>
    <mergeCell ref="B446:F446"/>
    <mergeCell ref="B409:B429"/>
    <mergeCell ref="B430:F430"/>
    <mergeCell ref="B438:F438"/>
    <mergeCell ref="D409:D429"/>
    <mergeCell ref="B43:B47"/>
    <mergeCell ref="C43:C47"/>
    <mergeCell ref="D43:D47"/>
    <mergeCell ref="B96:F96"/>
    <mergeCell ref="B101:F101"/>
    <mergeCell ref="D88:D95"/>
    <mergeCell ref="B70:B79"/>
    <mergeCell ref="C70:C79"/>
    <mergeCell ref="D70:D79"/>
    <mergeCell ref="C88:C95"/>
    <mergeCell ref="E91:F91"/>
    <mergeCell ref="C61:C68"/>
    <mergeCell ref="D54:D59"/>
    <mergeCell ref="C54:C59"/>
    <mergeCell ref="B81:B86"/>
    <mergeCell ref="E74:F74"/>
    <mergeCell ref="E77:F77"/>
    <mergeCell ref="E86:F86"/>
    <mergeCell ref="D81:D86"/>
    <mergeCell ref="E79:F79"/>
    <mergeCell ref="B54:B59"/>
    <mergeCell ref="E57:F57"/>
    <mergeCell ref="E59:F59"/>
    <mergeCell ref="E52:F52"/>
    <mergeCell ref="B486:F486"/>
    <mergeCell ref="B481:F481"/>
    <mergeCell ref="B479:F479"/>
    <mergeCell ref="B480:F480"/>
    <mergeCell ref="B484:F484"/>
    <mergeCell ref="B483:F483"/>
    <mergeCell ref="B482:F482"/>
    <mergeCell ref="B475:F475"/>
    <mergeCell ref="B478:F478"/>
    <mergeCell ref="B476:F476"/>
    <mergeCell ref="B485:F485"/>
    <mergeCell ref="B466:B474"/>
    <mergeCell ref="C466:C474"/>
    <mergeCell ref="D466:D474"/>
    <mergeCell ref="B465:F465"/>
    <mergeCell ref="B449:B464"/>
    <mergeCell ref="C449:C464"/>
    <mergeCell ref="D449:D464"/>
    <mergeCell ref="B385:B390"/>
    <mergeCell ref="C385:C390"/>
    <mergeCell ref="D385:D390"/>
    <mergeCell ref="E432:F432"/>
    <mergeCell ref="E434:F434"/>
    <mergeCell ref="E390:F390"/>
    <mergeCell ref="C409:C429"/>
    <mergeCell ref="B431:B436"/>
    <mergeCell ref="C431:C436"/>
    <mergeCell ref="D431:D436"/>
    <mergeCell ref="E429:F429"/>
    <mergeCell ref="B408:F408"/>
    <mergeCell ref="C442:C445"/>
    <mergeCell ref="D442:D445"/>
    <mergeCell ref="B448:F448"/>
    <mergeCell ref="B336:F336"/>
    <mergeCell ref="B333:B335"/>
    <mergeCell ref="D333:D335"/>
    <mergeCell ref="D287:D309"/>
    <mergeCell ref="E298:F298"/>
    <mergeCell ref="E309:F309"/>
    <mergeCell ref="B356:B361"/>
    <mergeCell ref="C356:C361"/>
    <mergeCell ref="B340:F340"/>
    <mergeCell ref="E361:F361"/>
    <mergeCell ref="E351:F351"/>
    <mergeCell ref="B328:B331"/>
    <mergeCell ref="C328:C331"/>
    <mergeCell ref="B355:F355"/>
    <mergeCell ref="E349:F349"/>
    <mergeCell ref="D341:D344"/>
    <mergeCell ref="E344:F344"/>
    <mergeCell ref="B310:F310"/>
    <mergeCell ref="E358:F358"/>
    <mergeCell ref="B345:F345"/>
    <mergeCell ref="E335:F335"/>
    <mergeCell ref="B327:F327"/>
    <mergeCell ref="E326:F326"/>
    <mergeCell ref="B332:F332"/>
    <mergeCell ref="E375:F375"/>
    <mergeCell ref="B363:B375"/>
    <mergeCell ref="C363:C375"/>
    <mergeCell ref="D363:D375"/>
    <mergeCell ref="B362:F362"/>
    <mergeCell ref="D346:D351"/>
    <mergeCell ref="C346:C351"/>
    <mergeCell ref="D356:D361"/>
    <mergeCell ref="B352:F352"/>
    <mergeCell ref="E354:F354"/>
    <mergeCell ref="B353:B354"/>
    <mergeCell ref="B249:F249"/>
    <mergeCell ref="B273:B276"/>
    <mergeCell ref="C273:C276"/>
    <mergeCell ref="B260:B271"/>
    <mergeCell ref="B272:F272"/>
    <mergeCell ref="E276:F276"/>
    <mergeCell ref="E436:F436"/>
    <mergeCell ref="B337:B339"/>
    <mergeCell ref="C337:C339"/>
    <mergeCell ref="D337:D339"/>
    <mergeCell ref="C392:C407"/>
    <mergeCell ref="E407:F407"/>
    <mergeCell ref="B392:B407"/>
    <mergeCell ref="B384:F384"/>
    <mergeCell ref="D392:D407"/>
    <mergeCell ref="B346:B351"/>
    <mergeCell ref="B377:B383"/>
    <mergeCell ref="B341:B344"/>
    <mergeCell ref="C341:C344"/>
    <mergeCell ref="B391:F391"/>
    <mergeCell ref="B376:F376"/>
    <mergeCell ref="C353:C354"/>
    <mergeCell ref="D353:D354"/>
    <mergeCell ref="E371:F371"/>
    <mergeCell ref="B287:B309"/>
    <mergeCell ref="C287:C309"/>
    <mergeCell ref="D278:D285"/>
    <mergeCell ref="B278:B285"/>
    <mergeCell ref="B286:F286"/>
    <mergeCell ref="E255:F255"/>
    <mergeCell ref="D250:D258"/>
    <mergeCell ref="C250:C258"/>
    <mergeCell ref="B250:B258"/>
    <mergeCell ref="E258:F258"/>
    <mergeCell ref="E268:F268"/>
    <mergeCell ref="D273:D276"/>
    <mergeCell ref="B259:F259"/>
    <mergeCell ref="D260:D271"/>
    <mergeCell ref="E266:F266"/>
    <mergeCell ref="E271:F271"/>
    <mergeCell ref="C260:C271"/>
    <mergeCell ref="E252:F252"/>
    <mergeCell ref="B277:F277"/>
    <mergeCell ref="C333:C335"/>
    <mergeCell ref="D328:D331"/>
    <mergeCell ref="E331:F331"/>
    <mergeCell ref="E318:F318"/>
    <mergeCell ref="B222:F222"/>
    <mergeCell ref="B226:F226"/>
    <mergeCell ref="E339:F339"/>
    <mergeCell ref="E225:F225"/>
    <mergeCell ref="B242:B244"/>
    <mergeCell ref="C242:C244"/>
    <mergeCell ref="D242:D244"/>
    <mergeCell ref="E244:F244"/>
    <mergeCell ref="B241:F241"/>
    <mergeCell ref="C238:C240"/>
    <mergeCell ref="D238:D240"/>
    <mergeCell ref="B237:F237"/>
    <mergeCell ref="B238:B240"/>
    <mergeCell ref="E240:F240"/>
    <mergeCell ref="E232:F232"/>
    <mergeCell ref="D230:D236"/>
    <mergeCell ref="D223:D225"/>
    <mergeCell ref="C223:C225"/>
    <mergeCell ref="B223:B225"/>
    <mergeCell ref="B227:B228"/>
    <mergeCell ref="C227:C228"/>
    <mergeCell ref="D227:D228"/>
    <mergeCell ref="E228:F228"/>
    <mergeCell ref="D311:D326"/>
    <mergeCell ref="E221:F221"/>
    <mergeCell ref="B216:B218"/>
    <mergeCell ref="C216:C218"/>
    <mergeCell ref="D216:D218"/>
    <mergeCell ref="E218:F218"/>
    <mergeCell ref="B311:B326"/>
    <mergeCell ref="C311:C326"/>
    <mergeCell ref="C278:C285"/>
    <mergeCell ref="E280:F280"/>
    <mergeCell ref="E283:F283"/>
    <mergeCell ref="E285:F285"/>
    <mergeCell ref="B229:F229"/>
    <mergeCell ref="B246:B248"/>
    <mergeCell ref="C246:C248"/>
    <mergeCell ref="D246:D248"/>
    <mergeCell ref="E248:F248"/>
    <mergeCell ref="C230:C236"/>
    <mergeCell ref="B230:B236"/>
    <mergeCell ref="E236:F236"/>
    <mergeCell ref="B245:F245"/>
    <mergeCell ref="B210:F210"/>
    <mergeCell ref="B219:F219"/>
    <mergeCell ref="B220:B221"/>
    <mergeCell ref="B152:B165"/>
    <mergeCell ref="C152:C165"/>
    <mergeCell ref="D152:D165"/>
    <mergeCell ref="E154:F154"/>
    <mergeCell ref="E165:F165"/>
    <mergeCell ref="B166:F166"/>
    <mergeCell ref="C220:C221"/>
    <mergeCell ref="D220:D221"/>
    <mergeCell ref="B215:F215"/>
    <mergeCell ref="E150:F150"/>
    <mergeCell ref="B151:F151"/>
    <mergeCell ref="E209:F209"/>
    <mergeCell ref="D203:D209"/>
    <mergeCell ref="C203:C209"/>
    <mergeCell ref="B203:B209"/>
    <mergeCell ref="B167:B185"/>
    <mergeCell ref="C167:C185"/>
    <mergeCell ref="D167:D185"/>
    <mergeCell ref="E181:F181"/>
    <mergeCell ref="E185:F185"/>
    <mergeCell ref="E207:F207"/>
    <mergeCell ref="B187:B201"/>
    <mergeCell ref="C187:C201"/>
    <mergeCell ref="D187:D201"/>
    <mergeCell ref="E194:F194"/>
    <mergeCell ref="E201:F201"/>
    <mergeCell ref="B186:F186"/>
    <mergeCell ref="B202:F202"/>
    <mergeCell ref="B144:F144"/>
    <mergeCell ref="B114:B116"/>
    <mergeCell ref="C114:C116"/>
    <mergeCell ref="D114:D116"/>
    <mergeCell ref="E116:F116"/>
    <mergeCell ref="B137:B143"/>
    <mergeCell ref="C137:C143"/>
    <mergeCell ref="D137:D143"/>
    <mergeCell ref="E141:F141"/>
    <mergeCell ref="E143:F143"/>
    <mergeCell ref="B128:B131"/>
    <mergeCell ref="C128:C131"/>
    <mergeCell ref="B127:F127"/>
    <mergeCell ref="B132:F132"/>
    <mergeCell ref="D128:D131"/>
    <mergeCell ref="E131:F131"/>
    <mergeCell ref="C133:C135"/>
    <mergeCell ref="D133:D135"/>
    <mergeCell ref="E135:F135"/>
    <mergeCell ref="B117:F117"/>
    <mergeCell ref="B136:F136"/>
    <mergeCell ref="B133:B135"/>
    <mergeCell ref="B118:B126"/>
    <mergeCell ref="C118:C126"/>
    <mergeCell ref="B49:B52"/>
    <mergeCell ref="C49:C52"/>
    <mergeCell ref="D49:D52"/>
    <mergeCell ref="B48:F48"/>
    <mergeCell ref="D118:D126"/>
    <mergeCell ref="E122:F122"/>
    <mergeCell ref="C81:C86"/>
    <mergeCell ref="E126:F126"/>
    <mergeCell ref="D102:D112"/>
    <mergeCell ref="E112:F112"/>
    <mergeCell ref="E106:F106"/>
    <mergeCell ref="E110:F110"/>
    <mergeCell ref="B60:F60"/>
    <mergeCell ref="B88:B95"/>
    <mergeCell ref="E84:F84"/>
    <mergeCell ref="B80:F80"/>
    <mergeCell ref="B69:F69"/>
    <mergeCell ref="B87:F87"/>
    <mergeCell ref="E65:F65"/>
    <mergeCell ref="E68:F68"/>
    <mergeCell ref="E95:F95"/>
    <mergeCell ref="B61:B68"/>
    <mergeCell ref="D61:D68"/>
    <mergeCell ref="B23:B25"/>
    <mergeCell ref="C23:C25"/>
    <mergeCell ref="D23:D25"/>
    <mergeCell ref="E25:F25"/>
    <mergeCell ref="B33:B35"/>
    <mergeCell ref="C33:C35"/>
    <mergeCell ref="D33:D35"/>
    <mergeCell ref="B53:F53"/>
    <mergeCell ref="B26:F26"/>
    <mergeCell ref="B32:F32"/>
    <mergeCell ref="B27:B31"/>
    <mergeCell ref="C27:C31"/>
    <mergeCell ref="D27:D31"/>
    <mergeCell ref="B36:F36"/>
    <mergeCell ref="E35:F35"/>
    <mergeCell ref="E29:F29"/>
    <mergeCell ref="E31:F31"/>
    <mergeCell ref="B42:F42"/>
    <mergeCell ref="E47:F47"/>
    <mergeCell ref="E41:F41"/>
    <mergeCell ref="B37:B41"/>
    <mergeCell ref="C37:C41"/>
    <mergeCell ref="D37:D41"/>
    <mergeCell ref="E39:F39"/>
    <mergeCell ref="B22:F22"/>
    <mergeCell ref="F2:F3"/>
    <mergeCell ref="B5:B8"/>
    <mergeCell ref="C5:C8"/>
    <mergeCell ref="D5:D8"/>
    <mergeCell ref="E8:F8"/>
    <mergeCell ref="B9:F9"/>
    <mergeCell ref="B10:B21"/>
    <mergeCell ref="C10:C21"/>
    <mergeCell ref="E17:F17"/>
    <mergeCell ref="B2:B3"/>
    <mergeCell ref="C2:D3"/>
    <mergeCell ref="E2:E3"/>
    <mergeCell ref="D10:D21"/>
    <mergeCell ref="E15:F15"/>
    <mergeCell ref="E21:F21"/>
  </mergeCells>
  <conditionalFormatting sqref="E212:H213 E214 G214:J214 B409:C409 E467:H474 E429:J429 B442:C443 E47:J47 B466:H466 B475:J476 B446:J446 B199:D199 F199:H199 B41:J42 B40:D40 F40:H40 B215:J215 B465:J465 B157:D157 F157:H157 B274:D274 F274:H274 J466:J474 B3:F3 B478:F478 B4:J4 B48:J48 B165:J166 B201:J202 B219:J219 B222:J222 B226:J226 B229:J229 B237:J237 B241:J241 B245:J245 E218:J218 E221:J221 E225:J225 E228:J228 E232:J232 E240:J240 E244:J244 B276:J277 B430:J430 E442:H445 B483:J483 B440:F441 B448:F448 B8:J9 B5:H7 J5:J7 B15:J15 B10:H14 J10:J14 B17:J17 B16:H16 J16 B21:J22 B18:H20 J18:J20 B25:J26 B23:H24 J23:J24 B29:J29 B27:H28 J27:J28 B31:J32 B30:H30 J30 B35:J36 B33:H34 J33:J34 B39:J39 B37:H38 J37:J38 J40 B43:H43 E44:H46 J43:J46 B52:J53 B49:H51 J49:J51 B57:J57 B54:H56 J54:J56 B59:J60 B58:H58 J58 B65:J65 B61:H64 J61:J64 B68:J69 B66:H67 J66:J67 B74:J74 B70:H73 J70:J73 B77:J77 B75:H76 J75:J76 B79:J80 B78:H78 J78 B84:J84 B81:H83 J81:J83 B86:J87 B85:H85 J85 B91:J91 B88:H90 J88:J90 B95:J96 B92:H94 J92:J94 B100:J101 B97:H99 J97:J99 B106:J106 B102:H105 J102:J105 B110:J110 B107:H109 J107:J109 B112:J113 B111:H111 J111 B116:J117 B114:H115 J114:J115 B122:J122 B118:H121 J118:J121 B126:J127 B123:H125 J123:J125 B131:J132 B128:H130 J128:J130 B135:J136 B133:H134 J133:J134 B141:J141 B137:H140 J137:J140 B143:J144 B142:H142 J142 B147:J147 B145:H146 J145:J146 B150:J151 B148:H149 J148:J149 B154:J154 B152:H153 J152:J153 B155:H156 B158:H164 J155:J164 B181:J181 B167:H180 J167:J180 B185:J186 B182:H184 J182:J184 B194:J194 B187:H193 J187:J193 B195:H198 B200:H200 J195:J200 B207:J207 B203:H206 J203:J206 B209:J210 B208:H208 J208 B211:H211 J211:J213 E216:H217 J216:J217 E220:H220 J220 E223:H224 J223:J224 E227:H227 J227 E230:H231 J230:J231 E236:J236 E233:H235 J233:J235 E238:H239 J238:J239 E242:H243 J242:J243 B248:J249 B246:H247 J246:J247 B252:J252 B250:H251 J250:J251 B255:J255 B253:H254 J253:J254 B258:J259 B256:H257 J256:J257 B266:J266 B260:H265 J260:J265 B271:J272 B269:H270 J269:J270 B268:J268 B267:H267 J267 B273:H273 B275:H275 J273:J275 B280:J280 B278:H279 J278:J279 B283:J283 B281:H282 J281:J282 B285:J286 B284:H284 J284 B298:J298 B287:H297 J287:J297 B309:J310 B299:H308 J299:J308 B318:J318 B311:H317 J311:J317 B326:J327 B319:H325 J319:J325 B331:J332 B328:H330 J328:J330 B335:J336 B333:H334 J333:J334 B339:J340 B337:H338 J337:J338 B344:J345 B341:H343 J341:J343 B349:J349 B346:H348 J346:J348 B351:J352 B350:H350 J350 B354:J355 B353:H353 J353 B358:J358 B356:H357 J356:J357 B361:J362 B359:H360 J359:J360 B371:J371 B363:H370 J363:J370 B375:J376 B372:H374 J372:J374 B383:J384 B377:H382 J377:J382 B390:J391 B385:H389 J385:J389 B407:J408 B392:H406 J392:J406 E409:H428 J409:J428 B432:J432 B431:H431 J431 B434:J434 B433:H433 J433 B436:J438 B435:H435 J435 J442:J445 B449:H464 J449:J464 B479:H482 J479:J482 B484:H486 J484:J486">
    <cfRule type="containsBlanks" dxfId="120" priority="196">
      <formula>LEN(TRIM(B3))=0</formula>
    </cfRule>
  </conditionalFormatting>
  <conditionalFormatting sqref="B2:F2">
    <cfRule type="containsBlanks" dxfId="119" priority="194">
      <formula>LEN(TRIM(B2))=0</formula>
    </cfRule>
  </conditionalFormatting>
  <conditionalFormatting sqref="H444">
    <cfRule type="containsBlanks" dxfId="118" priority="193">
      <formula>LEN(TRIM(H444))=0</formula>
    </cfRule>
  </conditionalFormatting>
  <conditionalFormatting sqref="D409">
    <cfRule type="containsBlanks" dxfId="117" priority="191">
      <formula>LEN(TRIM(D409))=0</formula>
    </cfRule>
  </conditionalFormatting>
  <conditionalFormatting sqref="D442:D443">
    <cfRule type="containsBlanks" dxfId="116" priority="190">
      <formula>LEN(TRIM(D442))=0</formula>
    </cfRule>
  </conditionalFormatting>
  <conditionalFormatting sqref="E157">
    <cfRule type="containsBlanks" dxfId="115" priority="116">
      <formula>LEN(TRIM(E157))=0</formula>
    </cfRule>
  </conditionalFormatting>
  <conditionalFormatting sqref="E199">
    <cfRule type="containsBlanks" dxfId="114" priority="118">
      <formula>LEN(TRIM(E199))=0</formula>
    </cfRule>
  </conditionalFormatting>
  <conditionalFormatting sqref="E40">
    <cfRule type="containsBlanks" dxfId="113" priority="117">
      <formula>LEN(TRIM(E40))=0</formula>
    </cfRule>
  </conditionalFormatting>
  <conditionalFormatting sqref="E274">
    <cfRule type="containsBlanks" dxfId="112" priority="115">
      <formula>LEN(TRIM(E274))=0</formula>
    </cfRule>
  </conditionalFormatting>
  <conditionalFormatting sqref="B477 B439 B447 K442:L446 K479:L486 M480:M481 K5:L438 K449:L476">
    <cfRule type="containsBlanks" dxfId="111" priority="110" stopIfTrue="1">
      <formula>LEN(TRIM(B5))=0</formula>
    </cfRule>
  </conditionalFormatting>
  <conditionalFormatting sqref="G2:L2">
    <cfRule type="containsBlanks" dxfId="110" priority="112" stopIfTrue="1">
      <formula>LEN(TRIM(G2))=0</formula>
    </cfRule>
  </conditionalFormatting>
  <conditionalFormatting sqref="G3:L3">
    <cfRule type="containsBlanks" dxfId="109" priority="111" stopIfTrue="1">
      <formula>LEN(TRIM(G3))=0</formula>
    </cfRule>
  </conditionalFormatting>
  <conditionalFormatting sqref="G478:L478">
    <cfRule type="containsBlanks" dxfId="108" priority="109" stopIfTrue="1">
      <formula>LEN(TRIM(G478))=0</formula>
    </cfRule>
  </conditionalFormatting>
  <conditionalFormatting sqref="B1:L1">
    <cfRule type="containsBlanks" dxfId="107" priority="108" stopIfTrue="1">
      <formula>LEN(TRIM(B1))=0</formula>
    </cfRule>
  </conditionalFormatting>
  <conditionalFormatting sqref="B216">
    <cfRule type="containsBlanks" dxfId="106" priority="107">
      <formula>LEN(TRIM(B216))=0</formula>
    </cfRule>
  </conditionalFormatting>
  <conditionalFormatting sqref="B220">
    <cfRule type="containsBlanks" dxfId="105" priority="106">
      <formula>LEN(TRIM(B220))=0</formula>
    </cfRule>
  </conditionalFormatting>
  <conditionalFormatting sqref="C242:D242">
    <cfRule type="containsBlanks" dxfId="104" priority="94">
      <formula>LEN(TRIM(C242))=0</formula>
    </cfRule>
  </conditionalFormatting>
  <conditionalFormatting sqref="B223">
    <cfRule type="containsBlanks" dxfId="103" priority="105">
      <formula>LEN(TRIM(B223))=0</formula>
    </cfRule>
  </conditionalFormatting>
  <conditionalFormatting sqref="B227">
    <cfRule type="containsBlanks" dxfId="102" priority="104">
      <formula>LEN(TRIM(B227))=0</formula>
    </cfRule>
  </conditionalFormatting>
  <conditionalFormatting sqref="B230">
    <cfRule type="containsBlanks" dxfId="101" priority="103">
      <formula>LEN(TRIM(B230))=0</formula>
    </cfRule>
  </conditionalFormatting>
  <conditionalFormatting sqref="B238">
    <cfRule type="containsBlanks" dxfId="100" priority="102">
      <formula>LEN(TRIM(B238))=0</formula>
    </cfRule>
  </conditionalFormatting>
  <conditionalFormatting sqref="B242">
    <cfRule type="containsBlanks" dxfId="99" priority="101">
      <formula>LEN(TRIM(B242))=0</formula>
    </cfRule>
  </conditionalFormatting>
  <conditionalFormatting sqref="C216:D216">
    <cfRule type="containsBlanks" dxfId="98" priority="100">
      <formula>LEN(TRIM(C216))=0</formula>
    </cfRule>
  </conditionalFormatting>
  <conditionalFormatting sqref="C220:D220">
    <cfRule type="containsBlanks" dxfId="97" priority="99">
      <formula>LEN(TRIM(C220))=0</formula>
    </cfRule>
  </conditionalFormatting>
  <conditionalFormatting sqref="C223:D223">
    <cfRule type="containsBlanks" dxfId="96" priority="98">
      <formula>LEN(TRIM(C223))=0</formula>
    </cfRule>
  </conditionalFormatting>
  <conditionalFormatting sqref="C227:D227">
    <cfRule type="containsBlanks" dxfId="95" priority="97">
      <formula>LEN(TRIM(C227))=0</formula>
    </cfRule>
  </conditionalFormatting>
  <conditionalFormatting sqref="C230:D230">
    <cfRule type="containsBlanks" dxfId="94" priority="96">
      <formula>LEN(TRIM(C230))=0</formula>
    </cfRule>
  </conditionalFormatting>
  <conditionalFormatting sqref="C238:D238">
    <cfRule type="containsBlanks" dxfId="93" priority="95">
      <formula>LEN(TRIM(C238))=0</formula>
    </cfRule>
  </conditionalFormatting>
  <conditionalFormatting sqref="G440:G441">
    <cfRule type="containsBlanks" dxfId="92" priority="93" stopIfTrue="1">
      <formula>LEN(TRIM(G440))=0</formula>
    </cfRule>
  </conditionalFormatting>
  <conditionalFormatting sqref="G448">
    <cfRule type="containsBlanks" dxfId="91" priority="92" stopIfTrue="1">
      <formula>LEN(TRIM(G448))=0</formula>
    </cfRule>
  </conditionalFormatting>
  <conditionalFormatting sqref="I5:I7">
    <cfRule type="containsBlanks" dxfId="90" priority="91">
      <formula>LEN(TRIM(I5))=0</formula>
    </cfRule>
  </conditionalFormatting>
  <conditionalFormatting sqref="I10:I14">
    <cfRule type="containsBlanks" dxfId="89" priority="90">
      <formula>LEN(TRIM(I10))=0</formula>
    </cfRule>
  </conditionalFormatting>
  <conditionalFormatting sqref="I37:I38">
    <cfRule type="containsBlanks" dxfId="88" priority="83">
      <formula>LEN(TRIM(I37))=0</formula>
    </cfRule>
  </conditionalFormatting>
  <conditionalFormatting sqref="I16">
    <cfRule type="containsBlanks" dxfId="87" priority="89">
      <formula>LEN(TRIM(I16))=0</formula>
    </cfRule>
  </conditionalFormatting>
  <conditionalFormatting sqref="I18:I20">
    <cfRule type="containsBlanks" dxfId="86" priority="88">
      <formula>LEN(TRIM(I18))=0</formula>
    </cfRule>
  </conditionalFormatting>
  <conditionalFormatting sqref="I23:I24">
    <cfRule type="containsBlanks" dxfId="85" priority="87">
      <formula>LEN(TRIM(I23))=0</formula>
    </cfRule>
  </conditionalFormatting>
  <conditionalFormatting sqref="I27:I28">
    <cfRule type="containsBlanks" dxfId="84" priority="86">
      <formula>LEN(TRIM(I27))=0</formula>
    </cfRule>
  </conditionalFormatting>
  <conditionalFormatting sqref="I30">
    <cfRule type="containsBlanks" dxfId="83" priority="85">
      <formula>LEN(TRIM(I30))=0</formula>
    </cfRule>
  </conditionalFormatting>
  <conditionalFormatting sqref="I33:I34">
    <cfRule type="containsBlanks" dxfId="82" priority="84">
      <formula>LEN(TRIM(I33))=0</formula>
    </cfRule>
  </conditionalFormatting>
  <conditionalFormatting sqref="I40">
    <cfRule type="containsBlanks" dxfId="81" priority="82">
      <formula>LEN(TRIM(I40))=0</formula>
    </cfRule>
  </conditionalFormatting>
  <conditionalFormatting sqref="I43:I46">
    <cfRule type="containsBlanks" dxfId="80" priority="81">
      <formula>LEN(TRIM(I43))=0</formula>
    </cfRule>
  </conditionalFormatting>
  <conditionalFormatting sqref="I49:I51">
    <cfRule type="containsBlanks" dxfId="79" priority="80">
      <formula>LEN(TRIM(I49))=0</formula>
    </cfRule>
  </conditionalFormatting>
  <conditionalFormatting sqref="I54:I56">
    <cfRule type="containsBlanks" dxfId="78" priority="79">
      <formula>LEN(TRIM(I54))=0</formula>
    </cfRule>
  </conditionalFormatting>
  <conditionalFormatting sqref="I58">
    <cfRule type="containsBlanks" dxfId="77" priority="78">
      <formula>LEN(TRIM(I58))=0</formula>
    </cfRule>
  </conditionalFormatting>
  <conditionalFormatting sqref="I61:I64">
    <cfRule type="containsBlanks" dxfId="76" priority="77">
      <formula>LEN(TRIM(I61))=0</formula>
    </cfRule>
  </conditionalFormatting>
  <conditionalFormatting sqref="I66:I67">
    <cfRule type="containsBlanks" dxfId="75" priority="76">
      <formula>LEN(TRIM(I66))=0</formula>
    </cfRule>
  </conditionalFormatting>
  <conditionalFormatting sqref="I70:I73">
    <cfRule type="containsBlanks" dxfId="74" priority="75">
      <formula>LEN(TRIM(I70))=0</formula>
    </cfRule>
  </conditionalFormatting>
  <conditionalFormatting sqref="I75:I76">
    <cfRule type="containsBlanks" dxfId="73" priority="74">
      <formula>LEN(TRIM(I75))=0</formula>
    </cfRule>
  </conditionalFormatting>
  <conditionalFormatting sqref="I78">
    <cfRule type="containsBlanks" dxfId="72" priority="73">
      <formula>LEN(TRIM(I78))=0</formula>
    </cfRule>
  </conditionalFormatting>
  <conditionalFormatting sqref="I81:I83">
    <cfRule type="containsBlanks" dxfId="71" priority="72">
      <formula>LEN(TRIM(I81))=0</formula>
    </cfRule>
  </conditionalFormatting>
  <conditionalFormatting sqref="I85">
    <cfRule type="containsBlanks" dxfId="70" priority="71">
      <formula>LEN(TRIM(I85))=0</formula>
    </cfRule>
  </conditionalFormatting>
  <conditionalFormatting sqref="I88:I90">
    <cfRule type="containsBlanks" dxfId="69" priority="70">
      <formula>LEN(TRIM(I88))=0</formula>
    </cfRule>
  </conditionalFormatting>
  <conditionalFormatting sqref="I92:I94">
    <cfRule type="containsBlanks" dxfId="68" priority="69">
      <formula>LEN(TRIM(I92))=0</formula>
    </cfRule>
  </conditionalFormatting>
  <conditionalFormatting sqref="I97:I99">
    <cfRule type="containsBlanks" dxfId="67" priority="68">
      <formula>LEN(TRIM(I97))=0</formula>
    </cfRule>
  </conditionalFormatting>
  <conditionalFormatting sqref="I102:I105">
    <cfRule type="containsBlanks" dxfId="66" priority="67">
      <formula>LEN(TRIM(I102))=0</formula>
    </cfRule>
  </conditionalFormatting>
  <conditionalFormatting sqref="I107:I109">
    <cfRule type="containsBlanks" dxfId="65" priority="66">
      <formula>LEN(TRIM(I107))=0</formula>
    </cfRule>
  </conditionalFormatting>
  <conditionalFormatting sqref="I111">
    <cfRule type="containsBlanks" dxfId="64" priority="65">
      <formula>LEN(TRIM(I111))=0</formula>
    </cfRule>
  </conditionalFormatting>
  <conditionalFormatting sqref="I114:I115">
    <cfRule type="containsBlanks" dxfId="63" priority="64">
      <formula>LEN(TRIM(I114))=0</formula>
    </cfRule>
  </conditionalFormatting>
  <conditionalFormatting sqref="I118:I121">
    <cfRule type="containsBlanks" dxfId="62" priority="63">
      <formula>LEN(TRIM(I118))=0</formula>
    </cfRule>
  </conditionalFormatting>
  <conditionalFormatting sqref="I123:I125">
    <cfRule type="containsBlanks" dxfId="61" priority="62">
      <formula>LEN(TRIM(I123))=0</formula>
    </cfRule>
  </conditionalFormatting>
  <conditionalFormatting sqref="I128:I130">
    <cfRule type="containsBlanks" dxfId="60" priority="61">
      <formula>LEN(TRIM(I128))=0</formula>
    </cfRule>
  </conditionalFormatting>
  <conditionalFormatting sqref="I133:I134">
    <cfRule type="containsBlanks" dxfId="59" priority="60">
      <formula>LEN(TRIM(I133))=0</formula>
    </cfRule>
  </conditionalFormatting>
  <conditionalFormatting sqref="I137:I140">
    <cfRule type="containsBlanks" dxfId="58" priority="59">
      <formula>LEN(TRIM(I137))=0</formula>
    </cfRule>
  </conditionalFormatting>
  <conditionalFormatting sqref="I142">
    <cfRule type="containsBlanks" dxfId="57" priority="58">
      <formula>LEN(TRIM(I142))=0</formula>
    </cfRule>
  </conditionalFormatting>
  <conditionalFormatting sqref="I145:I146">
    <cfRule type="containsBlanks" dxfId="56" priority="57">
      <formula>LEN(TRIM(I145))=0</formula>
    </cfRule>
  </conditionalFormatting>
  <conditionalFormatting sqref="I148:I149">
    <cfRule type="containsBlanks" dxfId="55" priority="56">
      <formula>LEN(TRIM(I148))=0</formula>
    </cfRule>
  </conditionalFormatting>
  <conditionalFormatting sqref="I152:I153">
    <cfRule type="containsBlanks" dxfId="54" priority="55">
      <formula>LEN(TRIM(I152))=0</formula>
    </cfRule>
  </conditionalFormatting>
  <conditionalFormatting sqref="I155:I164">
    <cfRule type="containsBlanks" dxfId="53" priority="54">
      <formula>LEN(TRIM(I155))=0</formula>
    </cfRule>
  </conditionalFormatting>
  <conditionalFormatting sqref="I167:I180">
    <cfRule type="containsBlanks" dxfId="52" priority="53">
      <formula>LEN(TRIM(I167))=0</formula>
    </cfRule>
  </conditionalFormatting>
  <conditionalFormatting sqref="I182:I184">
    <cfRule type="containsBlanks" dxfId="51" priority="52">
      <formula>LEN(TRIM(I182))=0</formula>
    </cfRule>
  </conditionalFormatting>
  <conditionalFormatting sqref="I187:I193">
    <cfRule type="containsBlanks" dxfId="50" priority="51">
      <formula>LEN(TRIM(I187))=0</formula>
    </cfRule>
  </conditionalFormatting>
  <conditionalFormatting sqref="I195:I200">
    <cfRule type="containsBlanks" dxfId="49" priority="50">
      <formula>LEN(TRIM(I195))=0</formula>
    </cfRule>
  </conditionalFormatting>
  <conditionalFormatting sqref="I203:I206">
    <cfRule type="containsBlanks" dxfId="48" priority="49">
      <formula>LEN(TRIM(I203))=0</formula>
    </cfRule>
  </conditionalFormatting>
  <conditionalFormatting sqref="I208">
    <cfRule type="containsBlanks" dxfId="47" priority="48">
      <formula>LEN(TRIM(I208))=0</formula>
    </cfRule>
  </conditionalFormatting>
  <conditionalFormatting sqref="I211:I213">
    <cfRule type="containsBlanks" dxfId="46" priority="47">
      <formula>LEN(TRIM(I211))=0</formula>
    </cfRule>
  </conditionalFormatting>
  <conditionalFormatting sqref="I216:I217">
    <cfRule type="containsBlanks" dxfId="45" priority="46">
      <formula>LEN(TRIM(I216))=0</formula>
    </cfRule>
  </conditionalFormatting>
  <conditionalFormatting sqref="I220">
    <cfRule type="containsBlanks" dxfId="44" priority="45">
      <formula>LEN(TRIM(I220))=0</formula>
    </cfRule>
  </conditionalFormatting>
  <conditionalFormatting sqref="I223:I224">
    <cfRule type="containsBlanks" dxfId="43" priority="44">
      <formula>LEN(TRIM(I223))=0</formula>
    </cfRule>
  </conditionalFormatting>
  <conditionalFormatting sqref="I227">
    <cfRule type="containsBlanks" dxfId="42" priority="43">
      <formula>LEN(TRIM(I227))=0</formula>
    </cfRule>
  </conditionalFormatting>
  <conditionalFormatting sqref="I230:I231">
    <cfRule type="containsBlanks" dxfId="41" priority="42">
      <formula>LEN(TRIM(I230))=0</formula>
    </cfRule>
  </conditionalFormatting>
  <conditionalFormatting sqref="I233:I235">
    <cfRule type="containsBlanks" dxfId="40" priority="41">
      <formula>LEN(TRIM(I233))=0</formula>
    </cfRule>
  </conditionalFormatting>
  <conditionalFormatting sqref="I238:I239">
    <cfRule type="containsBlanks" dxfId="39" priority="40">
      <formula>LEN(TRIM(I238))=0</formula>
    </cfRule>
  </conditionalFormatting>
  <conditionalFormatting sqref="I242:I243">
    <cfRule type="containsBlanks" dxfId="38" priority="39">
      <formula>LEN(TRIM(I242))=0</formula>
    </cfRule>
  </conditionalFormatting>
  <conditionalFormatting sqref="I246:I247">
    <cfRule type="containsBlanks" dxfId="37" priority="38">
      <formula>LEN(TRIM(I246))=0</formula>
    </cfRule>
  </conditionalFormatting>
  <conditionalFormatting sqref="I250:I251">
    <cfRule type="containsBlanks" dxfId="36" priority="37">
      <formula>LEN(TRIM(I250))=0</formula>
    </cfRule>
  </conditionalFormatting>
  <conditionalFormatting sqref="I253:I254">
    <cfRule type="containsBlanks" dxfId="35" priority="36">
      <formula>LEN(TRIM(I253))=0</formula>
    </cfRule>
  </conditionalFormatting>
  <conditionalFormatting sqref="I256:I257">
    <cfRule type="containsBlanks" dxfId="34" priority="35">
      <formula>LEN(TRIM(I256))=0</formula>
    </cfRule>
  </conditionalFormatting>
  <conditionalFormatting sqref="I260:I265">
    <cfRule type="containsBlanks" dxfId="33" priority="34">
      <formula>LEN(TRIM(I260))=0</formula>
    </cfRule>
  </conditionalFormatting>
  <conditionalFormatting sqref="I269:I270">
    <cfRule type="containsBlanks" dxfId="32" priority="33">
      <formula>LEN(TRIM(I269))=0</formula>
    </cfRule>
  </conditionalFormatting>
  <conditionalFormatting sqref="I267">
    <cfRule type="containsBlanks" dxfId="31" priority="32">
      <formula>LEN(TRIM(I267))=0</formula>
    </cfRule>
  </conditionalFormatting>
  <conditionalFormatting sqref="I273:I275">
    <cfRule type="containsBlanks" dxfId="30" priority="31">
      <formula>LEN(TRIM(I273))=0</formula>
    </cfRule>
  </conditionalFormatting>
  <conditionalFormatting sqref="I278:I279">
    <cfRule type="containsBlanks" dxfId="29" priority="30">
      <formula>LEN(TRIM(I278))=0</formula>
    </cfRule>
  </conditionalFormatting>
  <conditionalFormatting sqref="I281:I282">
    <cfRule type="containsBlanks" dxfId="28" priority="29">
      <formula>LEN(TRIM(I281))=0</formula>
    </cfRule>
  </conditionalFormatting>
  <conditionalFormatting sqref="I284">
    <cfRule type="containsBlanks" dxfId="27" priority="28">
      <formula>LEN(TRIM(I284))=0</formula>
    </cfRule>
  </conditionalFormatting>
  <conditionalFormatting sqref="I287:I297">
    <cfRule type="containsBlanks" dxfId="26" priority="27">
      <formula>LEN(TRIM(I287))=0</formula>
    </cfRule>
  </conditionalFormatting>
  <conditionalFormatting sqref="I299:I308">
    <cfRule type="containsBlanks" dxfId="25" priority="26">
      <formula>LEN(TRIM(I299))=0</formula>
    </cfRule>
  </conditionalFormatting>
  <conditionalFormatting sqref="I311:I317">
    <cfRule type="containsBlanks" dxfId="24" priority="25">
      <formula>LEN(TRIM(I311))=0</formula>
    </cfRule>
  </conditionalFormatting>
  <conditionalFormatting sqref="I319:I325">
    <cfRule type="containsBlanks" dxfId="23" priority="24">
      <formula>LEN(TRIM(I319))=0</formula>
    </cfRule>
  </conditionalFormatting>
  <conditionalFormatting sqref="I328:I330">
    <cfRule type="containsBlanks" dxfId="22" priority="23">
      <formula>LEN(TRIM(I328))=0</formula>
    </cfRule>
  </conditionalFormatting>
  <conditionalFormatting sqref="I333:I334">
    <cfRule type="containsBlanks" dxfId="21" priority="22">
      <formula>LEN(TRIM(I333))=0</formula>
    </cfRule>
  </conditionalFormatting>
  <conditionalFormatting sqref="I337:I338">
    <cfRule type="containsBlanks" dxfId="20" priority="21">
      <formula>LEN(TRIM(I337))=0</formula>
    </cfRule>
  </conditionalFormatting>
  <conditionalFormatting sqref="I341:I343">
    <cfRule type="containsBlanks" dxfId="19" priority="20">
      <formula>LEN(TRIM(I341))=0</formula>
    </cfRule>
  </conditionalFormatting>
  <conditionalFormatting sqref="I346:I348">
    <cfRule type="containsBlanks" dxfId="18" priority="19">
      <formula>LEN(TRIM(I346))=0</formula>
    </cfRule>
  </conditionalFormatting>
  <conditionalFormatting sqref="I350">
    <cfRule type="containsBlanks" dxfId="17" priority="18">
      <formula>LEN(TRIM(I350))=0</formula>
    </cfRule>
  </conditionalFormatting>
  <conditionalFormatting sqref="I353">
    <cfRule type="containsBlanks" dxfId="16" priority="17">
      <formula>LEN(TRIM(I353))=0</formula>
    </cfRule>
  </conditionalFormatting>
  <conditionalFormatting sqref="I356:I357">
    <cfRule type="containsBlanks" dxfId="15" priority="16">
      <formula>LEN(TRIM(I356))=0</formula>
    </cfRule>
  </conditionalFormatting>
  <conditionalFormatting sqref="I359:I360">
    <cfRule type="containsBlanks" dxfId="14" priority="15">
      <formula>LEN(TRIM(I359))=0</formula>
    </cfRule>
  </conditionalFormatting>
  <conditionalFormatting sqref="I363:I370">
    <cfRule type="containsBlanks" dxfId="13" priority="14">
      <formula>LEN(TRIM(I363))=0</formula>
    </cfRule>
  </conditionalFormatting>
  <conditionalFormatting sqref="I372:I374">
    <cfRule type="containsBlanks" dxfId="12" priority="13">
      <formula>LEN(TRIM(I372))=0</formula>
    </cfRule>
  </conditionalFormatting>
  <conditionalFormatting sqref="I377:I382">
    <cfRule type="containsBlanks" dxfId="11" priority="12">
      <formula>LEN(TRIM(I377))=0</formula>
    </cfRule>
  </conditionalFormatting>
  <conditionalFormatting sqref="I385:I389">
    <cfRule type="containsBlanks" dxfId="10" priority="11">
      <formula>LEN(TRIM(I385))=0</formula>
    </cfRule>
  </conditionalFormatting>
  <conditionalFormatting sqref="I392:I406">
    <cfRule type="containsBlanks" dxfId="9" priority="10">
      <formula>LEN(TRIM(I392))=0</formula>
    </cfRule>
  </conditionalFormatting>
  <conditionalFormatting sqref="I409:I428">
    <cfRule type="containsBlanks" dxfId="8" priority="9">
      <formula>LEN(TRIM(I409))=0</formula>
    </cfRule>
  </conditionalFormatting>
  <conditionalFormatting sqref="I431">
    <cfRule type="containsBlanks" dxfId="7" priority="8">
      <formula>LEN(TRIM(I431))=0</formula>
    </cfRule>
  </conditionalFormatting>
  <conditionalFormatting sqref="I433">
    <cfRule type="containsBlanks" dxfId="6" priority="7">
      <formula>LEN(TRIM(I433))=0</formula>
    </cfRule>
  </conditionalFormatting>
  <conditionalFormatting sqref="I435">
    <cfRule type="containsBlanks" dxfId="5" priority="6">
      <formula>LEN(TRIM(I435))=0</formula>
    </cfRule>
  </conditionalFormatting>
  <conditionalFormatting sqref="I442:I445">
    <cfRule type="containsBlanks" dxfId="4" priority="5">
      <formula>LEN(TRIM(I442))=0</formula>
    </cfRule>
  </conditionalFormatting>
  <conditionalFormatting sqref="I449:I464">
    <cfRule type="containsBlanks" dxfId="3" priority="4">
      <formula>LEN(TRIM(I449))=0</formula>
    </cfRule>
  </conditionalFormatting>
  <conditionalFormatting sqref="I466:I474">
    <cfRule type="containsBlanks" dxfId="2" priority="3">
      <formula>LEN(TRIM(I466))=0</formula>
    </cfRule>
  </conditionalFormatting>
  <conditionalFormatting sqref="I479:I482">
    <cfRule type="containsBlanks" dxfId="1" priority="2">
      <formula>LEN(TRIM(I479))=0</formula>
    </cfRule>
  </conditionalFormatting>
  <conditionalFormatting sqref="I484:I486">
    <cfRule type="containsBlanks" dxfId="0" priority="1">
      <formula>LEN(TRIM(I484))=0</formula>
    </cfRule>
  </conditionalFormatting>
  <pageMargins left="0.11811023622047245" right="0.15748031496062992" top="0.59055118110236227" bottom="0.23622047244094491" header="0.19685039370078741" footer="0.15748031496062992"/>
  <pageSetup paperSize="9" scale="60" orientation="portrait" r:id="rId1"/>
  <headerFooter>
    <oddFooter xml:space="preserve">&amp;L&amp;P+13&amp;C
&amp;R
</oddFooter>
  </headerFooter>
  <rowBreaks count="7" manualBreakCount="7">
    <brk id="80" max="11" man="1"/>
    <brk id="166" max="11" man="1"/>
    <brk id="210" max="11" man="1"/>
    <brk id="277" max="11" man="1"/>
    <brk id="345" max="11" man="1"/>
    <brk id="408" max="11" man="1"/>
    <brk id="438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8"/>
  <sheetViews>
    <sheetView rightToLeft="1" workbookViewId="0">
      <selection activeCell="B28" sqref="B28:C28"/>
    </sheetView>
  </sheetViews>
  <sheetFormatPr defaultRowHeight="14.25" x14ac:dyDescent="0.2"/>
  <cols>
    <col min="1" max="1" width="1.625" customWidth="1"/>
    <col min="2" max="2" width="66.375" customWidth="1"/>
    <col min="3" max="3" width="9.875" bestFit="1" customWidth="1"/>
  </cols>
  <sheetData>
    <row r="1" spans="1:3" ht="15.75" x14ac:dyDescent="0.2">
      <c r="A1" s="37"/>
      <c r="B1" s="427" t="s">
        <v>903</v>
      </c>
      <c r="C1" s="428"/>
    </row>
    <row r="2" spans="1:3" ht="15.75" x14ac:dyDescent="0.2">
      <c r="A2" s="37"/>
      <c r="B2" s="429" t="s">
        <v>878</v>
      </c>
      <c r="C2" s="430"/>
    </row>
    <row r="3" spans="1:3" x14ac:dyDescent="0.2">
      <c r="A3" s="37"/>
      <c r="B3" s="214" t="s">
        <v>879</v>
      </c>
      <c r="C3" s="245">
        <v>2020</v>
      </c>
    </row>
    <row r="4" spans="1:3" x14ac:dyDescent="0.2">
      <c r="A4" s="37"/>
      <c r="B4" s="246" t="s">
        <v>880</v>
      </c>
      <c r="C4" s="247">
        <f>خلاصة!E9</f>
        <v>27569086.878999997</v>
      </c>
    </row>
    <row r="5" spans="1:3" x14ac:dyDescent="0.2">
      <c r="A5" s="37"/>
      <c r="B5" s="246" t="s">
        <v>881</v>
      </c>
      <c r="C5" s="247">
        <f>خلاصة!M9</f>
        <v>27676612.609000001</v>
      </c>
    </row>
    <row r="6" spans="1:3" x14ac:dyDescent="0.2">
      <c r="A6" s="37"/>
      <c r="B6" s="246" t="s">
        <v>882</v>
      </c>
      <c r="C6" s="247">
        <f>خلاصة!E5</f>
        <v>19266506.261999998</v>
      </c>
    </row>
    <row r="7" spans="1:3" x14ac:dyDescent="0.2">
      <c r="A7" s="37"/>
      <c r="B7" s="246" t="s">
        <v>223</v>
      </c>
      <c r="C7" s="247">
        <f>خلاصة!E6</f>
        <v>7356033</v>
      </c>
    </row>
    <row r="8" spans="1:3" x14ac:dyDescent="0.2">
      <c r="A8" s="37"/>
      <c r="B8" s="246" t="s">
        <v>883</v>
      </c>
      <c r="C8" s="247">
        <f>خلاصة!E7+خلاصة!E8</f>
        <v>946547.61700000009</v>
      </c>
    </row>
    <row r="9" spans="1:3" x14ac:dyDescent="0.2">
      <c r="A9" s="37"/>
      <c r="B9" s="246" t="s">
        <v>412</v>
      </c>
      <c r="C9" s="247">
        <f>خلاصة!M5</f>
        <v>25945527.291000001</v>
      </c>
    </row>
    <row r="10" spans="1:3" x14ac:dyDescent="0.2">
      <c r="A10" s="37"/>
      <c r="B10" s="246" t="s">
        <v>884</v>
      </c>
      <c r="C10" s="247">
        <f>'ن-باب'!E5+'ن-باب'!E6</f>
        <v>24273914.286000002</v>
      </c>
    </row>
    <row r="11" spans="1:3" x14ac:dyDescent="0.2">
      <c r="A11" s="37"/>
      <c r="B11" s="246" t="s">
        <v>885</v>
      </c>
      <c r="C11" s="247">
        <f>'ن-باب'!E9</f>
        <v>390936.33599999989</v>
      </c>
    </row>
    <row r="12" spans="1:3" x14ac:dyDescent="0.2">
      <c r="A12" s="37"/>
      <c r="B12" s="246" t="s">
        <v>886</v>
      </c>
      <c r="C12" s="247">
        <f>خلاصة!M6</f>
        <v>1105651.8029999998</v>
      </c>
    </row>
    <row r="13" spans="1:3" x14ac:dyDescent="0.2">
      <c r="A13" s="37"/>
      <c r="B13" s="246" t="s">
        <v>887</v>
      </c>
      <c r="C13" s="247">
        <f>خلاصة!M7</f>
        <v>309999.35200000001</v>
      </c>
    </row>
    <row r="14" spans="1:3" x14ac:dyDescent="0.2">
      <c r="A14" s="37"/>
      <c r="B14" s="248" t="s">
        <v>888</v>
      </c>
      <c r="C14" s="249">
        <f>C4-C5</f>
        <v>-107525.73000000417</v>
      </c>
    </row>
    <row r="15" spans="1:3" x14ac:dyDescent="0.2">
      <c r="A15" s="37"/>
      <c r="B15" s="431" t="s">
        <v>889</v>
      </c>
      <c r="C15" s="432"/>
    </row>
    <row r="16" spans="1:3" x14ac:dyDescent="0.2">
      <c r="A16" s="37"/>
      <c r="B16" s="246" t="s">
        <v>890</v>
      </c>
      <c r="C16" s="250">
        <f>C6/C4</f>
        <v>0.69884455537320445</v>
      </c>
    </row>
    <row r="17" spans="1:4" x14ac:dyDescent="0.2">
      <c r="A17" s="37"/>
      <c r="B17" s="246" t="s">
        <v>891</v>
      </c>
      <c r="C17" s="250">
        <f>C7/C4</f>
        <v>0.26682178602016948</v>
      </c>
    </row>
    <row r="18" spans="1:4" x14ac:dyDescent="0.2">
      <c r="A18" s="37"/>
      <c r="B18" s="246" t="s">
        <v>892</v>
      </c>
      <c r="C18" s="250">
        <f>C8/C4</f>
        <v>3.4333658606626072E-2</v>
      </c>
      <c r="D18" s="263"/>
    </row>
    <row r="19" spans="1:4" x14ac:dyDescent="0.2">
      <c r="A19" s="37"/>
      <c r="B19" s="246" t="s">
        <v>893</v>
      </c>
      <c r="C19" s="250">
        <f>C9/C5</f>
        <v>0.93745313624698867</v>
      </c>
    </row>
    <row r="20" spans="1:4" x14ac:dyDescent="0.2">
      <c r="A20" s="37"/>
      <c r="B20" s="246" t="s">
        <v>894</v>
      </c>
      <c r="C20" s="250">
        <f>C10/C5</f>
        <v>0.87705510168200662</v>
      </c>
    </row>
    <row r="21" spans="1:4" x14ac:dyDescent="0.2">
      <c r="A21" s="37"/>
      <c r="B21" s="246" t="s">
        <v>895</v>
      </c>
      <c r="C21" s="250">
        <f>C11/C5</f>
        <v>1.4125151134748099E-2</v>
      </c>
    </row>
    <row r="22" spans="1:4" x14ac:dyDescent="0.2">
      <c r="A22" s="37"/>
      <c r="B22" s="246" t="s">
        <v>896</v>
      </c>
      <c r="C22" s="250">
        <f>C12/C5</f>
        <v>3.9948956854657103E-2</v>
      </c>
    </row>
    <row r="23" spans="1:4" x14ac:dyDescent="0.2">
      <c r="A23" s="37"/>
      <c r="B23" s="246" t="s">
        <v>897</v>
      </c>
      <c r="C23" s="250">
        <f>C13/C5</f>
        <v>1.1200769269689929E-2</v>
      </c>
    </row>
    <row r="24" spans="1:4" x14ac:dyDescent="0.2">
      <c r="A24" s="37"/>
      <c r="B24" s="246" t="s">
        <v>898</v>
      </c>
      <c r="C24" s="250">
        <f>C4/C5</f>
        <v>0.99611492448447114</v>
      </c>
    </row>
    <row r="25" spans="1:4" x14ac:dyDescent="0.2">
      <c r="A25" s="37"/>
      <c r="B25" s="246" t="s">
        <v>899</v>
      </c>
      <c r="C25" s="250">
        <f>C6/C9</f>
        <v>0.74257524412244935</v>
      </c>
    </row>
    <row r="26" spans="1:4" x14ac:dyDescent="0.2">
      <c r="A26" s="37"/>
      <c r="B26" s="246" t="s">
        <v>900</v>
      </c>
      <c r="C26" s="250">
        <f>C6/C10</f>
        <v>0.79371237926435168</v>
      </c>
    </row>
    <row r="27" spans="1:4" ht="15" thickBot="1" x14ac:dyDescent="0.25">
      <c r="A27" s="37"/>
      <c r="B27" s="251" t="s">
        <v>901</v>
      </c>
      <c r="C27" s="252">
        <f>-C14/C5</f>
        <v>3.8850755155288943E-3</v>
      </c>
    </row>
    <row r="28" spans="1:4" x14ac:dyDescent="0.2">
      <c r="A28" s="37"/>
      <c r="B28" s="433" t="s">
        <v>902</v>
      </c>
      <c r="C28" s="433"/>
    </row>
  </sheetData>
  <mergeCells count="4">
    <mergeCell ref="B1:C1"/>
    <mergeCell ref="B2:C2"/>
    <mergeCell ref="B15:C15"/>
    <mergeCell ref="B28:C2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43"/>
  <sheetViews>
    <sheetView rightToLeft="1" workbookViewId="0">
      <selection activeCell="I1" sqref="I1:O1048576"/>
    </sheetView>
  </sheetViews>
  <sheetFormatPr defaultRowHeight="14.25" x14ac:dyDescent="0.2"/>
  <cols>
    <col min="1" max="1" width="1.625" customWidth="1"/>
    <col min="2" max="2" width="45.25" style="206" bestFit="1" customWidth="1"/>
    <col min="3" max="3" width="3.625" style="206" customWidth="1"/>
    <col min="4" max="4" width="9.875" style="206" bestFit="1" customWidth="1"/>
    <col min="5" max="5" width="3.625" style="206" customWidth="1"/>
    <col min="6" max="6" width="11" style="206" bestFit="1" customWidth="1"/>
    <col min="7" max="7" width="8.625" style="206" bestFit="1" customWidth="1"/>
    <col min="8" max="8" width="10.375" style="206" bestFit="1" customWidth="1"/>
    <col min="9" max="10" width="10.375" style="206" hidden="1" customWidth="1"/>
    <col min="11" max="12" width="8.625" style="206" hidden="1" customWidth="1"/>
    <col min="13" max="13" width="9.375" style="206" hidden="1" customWidth="1"/>
    <col min="14" max="14" width="8.625" style="206" hidden="1" customWidth="1"/>
    <col min="15" max="15" width="0" hidden="1" customWidth="1"/>
  </cols>
  <sheetData>
    <row r="1" spans="1:14" x14ac:dyDescent="0.2">
      <c r="A1" s="37"/>
      <c r="B1" s="438" t="s">
        <v>909</v>
      </c>
      <c r="C1" s="438"/>
      <c r="D1" s="438"/>
      <c r="E1" s="438"/>
      <c r="F1" s="438"/>
      <c r="G1" s="210"/>
      <c r="H1" s="210"/>
      <c r="I1" s="210"/>
      <c r="J1" s="210"/>
      <c r="K1" s="210"/>
      <c r="L1" s="210"/>
      <c r="M1" s="210"/>
      <c r="N1" s="210"/>
    </row>
    <row r="2" spans="1:14" x14ac:dyDescent="0.2">
      <c r="A2" s="37"/>
      <c r="B2" s="267" t="s">
        <v>849</v>
      </c>
      <c r="C2" s="439">
        <v>2020</v>
      </c>
      <c r="D2" s="439"/>
      <c r="E2" s="439"/>
      <c r="F2" s="439"/>
      <c r="G2" s="210"/>
      <c r="H2" s="210"/>
      <c r="I2" s="210"/>
      <c r="J2" s="210"/>
      <c r="K2" s="219">
        <f>خلاصة!E9</f>
        <v>27569086.878999997</v>
      </c>
      <c r="L2" s="219">
        <f>D4</f>
        <v>19266506.261999998</v>
      </c>
      <c r="M2" s="219">
        <f>خلاصة!M9</f>
        <v>27676612.609000001</v>
      </c>
      <c r="N2" s="220">
        <f>D7</f>
        <v>-390936.33599999989</v>
      </c>
    </row>
    <row r="3" spans="1:14" x14ac:dyDescent="0.2">
      <c r="A3" s="37"/>
      <c r="B3" s="221" t="s">
        <v>850</v>
      </c>
      <c r="C3" s="222"/>
      <c r="D3" s="223"/>
      <c r="E3" s="224"/>
      <c r="F3" s="225"/>
      <c r="G3" s="210"/>
      <c r="H3" s="210"/>
      <c r="I3" s="210"/>
      <c r="J3" s="210"/>
      <c r="K3" s="219"/>
      <c r="L3" s="219">
        <f>D20</f>
        <v>267061.67200000002</v>
      </c>
      <c r="M3" s="219"/>
      <c r="N3" s="220">
        <f>D8</f>
        <v>-53079.87000000001</v>
      </c>
    </row>
    <row r="4" spans="1:14" x14ac:dyDescent="0.2">
      <c r="A4" s="37"/>
      <c r="B4" s="226" t="s">
        <v>851</v>
      </c>
      <c r="C4" s="226"/>
      <c r="D4" s="217">
        <f>خلاصة!E5</f>
        <v>19266506.261999998</v>
      </c>
      <c r="E4" s="227"/>
      <c r="F4" s="225"/>
      <c r="G4" s="268"/>
      <c r="H4" s="210"/>
      <c r="I4" s="210"/>
      <c r="J4" s="210"/>
      <c r="K4" s="219"/>
      <c r="L4" s="219">
        <f>D21</f>
        <v>241941.5</v>
      </c>
      <c r="M4" s="219"/>
      <c r="N4" s="220">
        <f>D12</f>
        <v>-1415651.1549999998</v>
      </c>
    </row>
    <row r="5" spans="1:14" x14ac:dyDescent="0.2">
      <c r="A5" s="37"/>
      <c r="B5" s="226" t="s">
        <v>852</v>
      </c>
      <c r="C5" s="226"/>
      <c r="D5" s="217">
        <f>-'ن-باب'!E5</f>
        <v>-20328971.589000002</v>
      </c>
      <c r="E5" s="227"/>
      <c r="F5" s="225"/>
      <c r="G5" s="210"/>
      <c r="H5" s="210"/>
      <c r="I5" s="210"/>
      <c r="J5" s="210"/>
      <c r="K5" s="219"/>
      <c r="L5" s="219">
        <f>D22</f>
        <v>361945.554</v>
      </c>
      <c r="M5" s="219"/>
      <c r="N5" s="220">
        <f>D6</f>
        <v>-3944942.6969999997</v>
      </c>
    </row>
    <row r="6" spans="1:14" x14ac:dyDescent="0.2">
      <c r="A6" s="37"/>
      <c r="B6" s="226" t="s">
        <v>853</v>
      </c>
      <c r="C6" s="226"/>
      <c r="D6" s="217">
        <f>-'ن-باب'!E6</f>
        <v>-3944942.6969999997</v>
      </c>
      <c r="E6" s="227"/>
      <c r="F6" s="225"/>
      <c r="G6" s="210"/>
      <c r="H6" s="210"/>
      <c r="I6" s="210"/>
      <c r="J6" s="210"/>
      <c r="K6" s="219"/>
      <c r="L6" s="219">
        <f>D23</f>
        <v>48598.891000000003</v>
      </c>
      <c r="M6" s="219"/>
      <c r="N6" s="220">
        <f>D9</f>
        <v>-89217.076000000001</v>
      </c>
    </row>
    <row r="7" spans="1:14" x14ac:dyDescent="0.2">
      <c r="A7" s="37"/>
      <c r="B7" s="226" t="s">
        <v>854</v>
      </c>
      <c r="C7" s="226"/>
      <c r="D7" s="217">
        <f>-'ن-باب'!E9</f>
        <v>-390936.33599999989</v>
      </c>
      <c r="E7" s="227"/>
      <c r="F7" s="225"/>
      <c r="G7" s="210"/>
      <c r="H7" s="210"/>
      <c r="I7" s="210"/>
      <c r="J7" s="210"/>
      <c r="K7" s="219"/>
      <c r="L7" s="219">
        <f>D30</f>
        <v>27000</v>
      </c>
      <c r="M7" s="219"/>
      <c r="N7" s="220">
        <f>D5</f>
        <v>-20328971.589000002</v>
      </c>
    </row>
    <row r="8" spans="1:14" x14ac:dyDescent="0.2">
      <c r="A8" s="37"/>
      <c r="B8" s="226" t="s">
        <v>855</v>
      </c>
      <c r="C8" s="226"/>
      <c r="D8" s="217">
        <f>-'ن-باب'!E7</f>
        <v>-53079.87000000001</v>
      </c>
      <c r="E8" s="227"/>
      <c r="F8" s="225"/>
      <c r="G8" s="210"/>
      <c r="H8" s="210"/>
      <c r="I8" s="210"/>
      <c r="J8" s="210"/>
      <c r="K8" s="219"/>
      <c r="L8" s="219">
        <f>D29</f>
        <v>7356033</v>
      </c>
      <c r="M8" s="219"/>
      <c r="N8" s="220">
        <f>D10</f>
        <v>-66534.523000000001</v>
      </c>
    </row>
    <row r="9" spans="1:14" x14ac:dyDescent="0.2">
      <c r="A9" s="37"/>
      <c r="B9" s="226" t="s">
        <v>856</v>
      </c>
      <c r="C9" s="226"/>
      <c r="D9" s="217">
        <f>-'ن-باب'!E8</f>
        <v>-89217.076000000001</v>
      </c>
      <c r="E9" s="227"/>
      <c r="F9" s="225"/>
      <c r="G9" s="210"/>
      <c r="H9" s="210"/>
      <c r="I9" s="210"/>
      <c r="J9" s="210"/>
      <c r="K9" s="219"/>
      <c r="L9" s="219">
        <f>SUM(L2:L8)</f>
        <v>27569086.878999997</v>
      </c>
      <c r="M9" s="219"/>
      <c r="N9" s="220">
        <f>D31</f>
        <v>-569621.19700000004</v>
      </c>
    </row>
    <row r="10" spans="1:14" x14ac:dyDescent="0.2">
      <c r="A10" s="37"/>
      <c r="B10" s="226" t="s">
        <v>857</v>
      </c>
      <c r="C10" s="226"/>
      <c r="D10" s="217">
        <f>-'ن-باب'!E10</f>
        <v>-66534.523000000001</v>
      </c>
      <c r="E10" s="227"/>
      <c r="F10" s="225"/>
      <c r="G10" s="210"/>
      <c r="H10" s="210"/>
      <c r="I10" s="210"/>
      <c r="J10" s="210"/>
      <c r="K10" s="269"/>
      <c r="L10" s="269"/>
      <c r="M10" s="219"/>
      <c r="N10" s="220">
        <f>D11</f>
        <v>-502224.00300000003</v>
      </c>
    </row>
    <row r="11" spans="1:14" x14ac:dyDescent="0.2">
      <c r="A11" s="37"/>
      <c r="B11" s="226" t="s">
        <v>858</v>
      </c>
      <c r="C11" s="226"/>
      <c r="D11" s="217">
        <f>-'ن-باب'!E11</f>
        <v>-502224.00300000003</v>
      </c>
      <c r="E11" s="227"/>
      <c r="F11" s="225"/>
      <c r="G11" s="210"/>
      <c r="H11" s="210"/>
      <c r="J11" s="210"/>
      <c r="K11" s="269"/>
      <c r="L11" s="269"/>
      <c r="M11" s="219"/>
      <c r="N11" s="220">
        <f>D25</f>
        <v>-64707.563000000002</v>
      </c>
    </row>
    <row r="12" spans="1:14" x14ac:dyDescent="0.2">
      <c r="A12" s="37"/>
      <c r="B12" s="226" t="s">
        <v>906</v>
      </c>
      <c r="C12" s="226"/>
      <c r="D12" s="217">
        <f>-(خلاصة!M6+خلاصة!M7)</f>
        <v>-1415651.1549999998</v>
      </c>
      <c r="E12" s="227"/>
      <c r="F12" s="225"/>
      <c r="G12" s="210"/>
      <c r="H12" s="210"/>
      <c r="I12" s="210"/>
      <c r="J12" s="210"/>
      <c r="K12" s="269"/>
      <c r="L12" s="269"/>
      <c r="M12" s="219"/>
      <c r="N12" s="220">
        <f>D24</f>
        <v>-250726.59999999998</v>
      </c>
    </row>
    <row r="13" spans="1:14" x14ac:dyDescent="0.2">
      <c r="A13" s="37"/>
      <c r="B13" s="226" t="s">
        <v>859</v>
      </c>
      <c r="C13" s="226"/>
      <c r="D13" s="217">
        <f>'أمانات وذمم'!G27</f>
        <v>-1312149.1739999996</v>
      </c>
      <c r="E13" s="227"/>
      <c r="F13" s="225"/>
      <c r="G13" s="210"/>
      <c r="H13" s="210"/>
      <c r="I13" s="210"/>
      <c r="J13" s="210"/>
      <c r="K13" s="269"/>
      <c r="L13" s="269"/>
      <c r="M13" s="219"/>
      <c r="N13" s="220">
        <f>SUM(N2:N12)</f>
        <v>-27676612.609000001</v>
      </c>
    </row>
    <row r="14" spans="1:14" x14ac:dyDescent="0.2">
      <c r="A14" s="37"/>
      <c r="B14" s="226" t="s">
        <v>833</v>
      </c>
      <c r="C14" s="226"/>
      <c r="D14" s="217">
        <f>'أمانات وذمم'!G18</f>
        <v>11959.813000000024</v>
      </c>
      <c r="E14" s="227"/>
      <c r="F14" s="225"/>
      <c r="G14" s="210"/>
      <c r="H14" s="210"/>
      <c r="I14" s="210"/>
      <c r="J14" s="210"/>
      <c r="K14" s="269"/>
      <c r="L14" s="219">
        <f>K2-L9</f>
        <v>0</v>
      </c>
      <c r="M14" s="269"/>
      <c r="N14" s="219">
        <f>M2+N13</f>
        <v>0</v>
      </c>
    </row>
    <row r="15" spans="1:14" x14ac:dyDescent="0.2">
      <c r="A15" s="37"/>
      <c r="B15" s="226" t="s">
        <v>829</v>
      </c>
      <c r="C15" s="226"/>
      <c r="D15" s="217">
        <f>'أمانات وذمم'!G10</f>
        <v>147421.7400000015</v>
      </c>
      <c r="E15" s="227"/>
      <c r="F15" s="225"/>
      <c r="G15" s="210"/>
      <c r="H15" s="210"/>
      <c r="I15" s="210"/>
      <c r="J15" s="210"/>
      <c r="K15" s="440">
        <f>N13+L9</f>
        <v>-107525.73000000417</v>
      </c>
      <c r="L15" s="440"/>
      <c r="M15" s="440"/>
      <c r="N15" s="440"/>
    </row>
    <row r="16" spans="1:14" x14ac:dyDescent="0.2">
      <c r="A16" s="37"/>
      <c r="B16" s="226" t="s">
        <v>831</v>
      </c>
      <c r="C16" s="226"/>
      <c r="D16" s="217">
        <f>'أمانات وذمم'!G13-K15</f>
        <v>1999946.0000000037</v>
      </c>
      <c r="E16" s="227"/>
      <c r="F16" s="225"/>
      <c r="G16" s="210"/>
      <c r="H16" s="270"/>
      <c r="I16" s="210"/>
      <c r="J16" s="210"/>
    </row>
    <row r="17" spans="1:14" x14ac:dyDescent="0.2">
      <c r="A17" s="37"/>
      <c r="B17" s="228" t="s">
        <v>860</v>
      </c>
      <c r="C17" s="229"/>
      <c r="D17" s="230"/>
      <c r="E17" s="231"/>
      <c r="F17" s="234">
        <f>SUM(D4:D16)</f>
        <v>-6677872.6079999972</v>
      </c>
      <c r="G17" s="210"/>
      <c r="H17" s="210"/>
      <c r="I17" s="210"/>
      <c r="J17" s="210"/>
      <c r="K17" s="217">
        <f>SUM(D13:D16)</f>
        <v>847178.37900000578</v>
      </c>
      <c r="L17" s="210"/>
      <c r="M17" s="210"/>
      <c r="N17" s="210"/>
    </row>
    <row r="18" spans="1:14" x14ac:dyDescent="0.2">
      <c r="A18" s="37"/>
      <c r="B18" s="441"/>
      <c r="C18" s="441"/>
      <c r="D18" s="441"/>
      <c r="E18" s="441"/>
      <c r="F18" s="441"/>
      <c r="G18" s="210"/>
      <c r="H18" s="210"/>
      <c r="I18" s="210"/>
      <c r="J18" s="210"/>
      <c r="K18" s="217">
        <f>'أمانات وذمم'!G30</f>
        <v>739652.64900000207</v>
      </c>
      <c r="L18" s="210"/>
      <c r="M18" s="210"/>
      <c r="N18" s="210"/>
    </row>
    <row r="19" spans="1:14" x14ac:dyDescent="0.2">
      <c r="A19" s="37"/>
      <c r="B19" s="221" t="s">
        <v>861</v>
      </c>
      <c r="C19" s="222"/>
      <c r="D19" s="223"/>
      <c r="E19" s="224"/>
      <c r="F19" s="225"/>
      <c r="G19" s="210"/>
      <c r="H19" s="210"/>
      <c r="I19" s="210"/>
      <c r="J19" s="210"/>
      <c r="K19" s="217">
        <f>K17-K18</f>
        <v>107525.73000000371</v>
      </c>
      <c r="L19" s="210"/>
      <c r="M19" s="210"/>
      <c r="N19" s="210"/>
    </row>
    <row r="20" spans="1:14" x14ac:dyDescent="0.2">
      <c r="A20" s="37"/>
      <c r="B20" s="226" t="s">
        <v>862</v>
      </c>
      <c r="C20" s="226"/>
      <c r="D20" s="217">
        <f>'ر-فصل'!E22</f>
        <v>267061.67200000002</v>
      </c>
      <c r="E20" s="227"/>
      <c r="F20" s="225"/>
      <c r="G20" s="210"/>
      <c r="H20" s="210"/>
      <c r="I20" s="210"/>
      <c r="J20" s="210"/>
      <c r="K20" s="272">
        <f>K19+K15</f>
        <v>-4.6566128730773926E-10</v>
      </c>
      <c r="L20" s="210"/>
      <c r="M20" s="210"/>
      <c r="N20" s="210"/>
    </row>
    <row r="21" spans="1:14" x14ac:dyDescent="0.2">
      <c r="A21" s="37"/>
      <c r="B21" s="226" t="s">
        <v>863</v>
      </c>
      <c r="C21" s="226"/>
      <c r="D21" s="217">
        <f>'ر-فصل'!E24+'ر-فصل'!E25+'ر-فصل'!E26</f>
        <v>241941.5</v>
      </c>
      <c r="E21" s="227"/>
      <c r="F21" s="225"/>
      <c r="G21" s="210"/>
      <c r="H21" s="210"/>
      <c r="I21" s="210"/>
      <c r="J21" s="210"/>
      <c r="K21" s="210"/>
      <c r="L21" s="210"/>
      <c r="M21" s="210"/>
      <c r="N21" s="210"/>
    </row>
    <row r="22" spans="1:14" x14ac:dyDescent="0.2">
      <c r="A22" s="37"/>
      <c r="B22" s="226" t="s">
        <v>864</v>
      </c>
      <c r="C22" s="226"/>
      <c r="D22" s="217">
        <f>'ر-فصل'!E23-'ر-مواد'!E84</f>
        <v>361945.554</v>
      </c>
      <c r="E22" s="227"/>
      <c r="F22" s="225"/>
      <c r="G22" s="210"/>
      <c r="H22" s="210"/>
      <c r="I22" s="210"/>
      <c r="J22" s="210"/>
      <c r="K22" s="210"/>
      <c r="L22" s="210"/>
      <c r="M22" s="210"/>
      <c r="N22" s="210"/>
    </row>
    <row r="23" spans="1:14" x14ac:dyDescent="0.2">
      <c r="A23" s="37"/>
      <c r="B23" s="226" t="s">
        <v>865</v>
      </c>
      <c r="C23" s="226"/>
      <c r="D23" s="217">
        <f>'ر-مواد'!E84</f>
        <v>48598.891000000003</v>
      </c>
      <c r="E23" s="227"/>
      <c r="F23" s="225"/>
      <c r="G23" s="210"/>
      <c r="H23" s="210"/>
      <c r="I23" s="210"/>
      <c r="J23" s="210"/>
      <c r="K23" s="210"/>
      <c r="L23" s="210"/>
      <c r="M23" s="210"/>
      <c r="N23" s="210"/>
    </row>
    <row r="24" spans="1:14" x14ac:dyDescent="0.2">
      <c r="A24" s="37"/>
      <c r="B24" s="226" t="s">
        <v>866</v>
      </c>
      <c r="C24" s="226"/>
      <c r="D24" s="216">
        <f>-('ن-باب'!E28+'ن-باب'!E29+'ن-باب'!E30+'ن-باب'!E31+'ن-باب'!E32)</f>
        <v>-250726.59999999998</v>
      </c>
      <c r="E24" s="227"/>
      <c r="F24" s="225"/>
      <c r="G24" s="232"/>
      <c r="H24" s="210"/>
      <c r="I24" s="210"/>
      <c r="J24" s="210"/>
      <c r="K24" s="210"/>
      <c r="L24" s="210"/>
      <c r="M24" s="210"/>
      <c r="N24" s="210"/>
    </row>
    <row r="25" spans="1:14" x14ac:dyDescent="0.2">
      <c r="A25" s="37"/>
      <c r="B25" s="226" t="s">
        <v>867</v>
      </c>
      <c r="C25" s="226"/>
      <c r="D25" s="216">
        <f>-'ن-باب'!E33</f>
        <v>-64707.563000000002</v>
      </c>
      <c r="E25" s="227"/>
      <c r="F25" s="233"/>
      <c r="G25" s="210"/>
      <c r="H25" s="210"/>
      <c r="I25" s="210"/>
      <c r="J25" s="210"/>
      <c r="K25" s="442">
        <f>SUM(D32:D33)</f>
        <v>-15483007.605000004</v>
      </c>
      <c r="L25" s="444">
        <f>SUM(K25:K29)</f>
        <v>0</v>
      </c>
      <c r="M25" s="444">
        <f>D35+D32</f>
        <v>1892420.2699999958</v>
      </c>
      <c r="N25" s="444">
        <f>D16-M25</f>
        <v>107525.7300000079</v>
      </c>
    </row>
    <row r="26" spans="1:14" x14ac:dyDescent="0.2">
      <c r="A26" s="37"/>
      <c r="B26" s="228" t="s">
        <v>868</v>
      </c>
      <c r="C26" s="229"/>
      <c r="D26" s="230"/>
      <c r="E26" s="231"/>
      <c r="F26" s="234">
        <f>SUM(D20:D25)</f>
        <v>604113.45400000014</v>
      </c>
      <c r="G26" s="232"/>
      <c r="H26" s="210"/>
      <c r="I26" s="210"/>
      <c r="J26" s="210"/>
      <c r="K26" s="443"/>
      <c r="L26" s="444"/>
      <c r="M26" s="444"/>
      <c r="N26" s="444"/>
    </row>
    <row r="27" spans="1:14" x14ac:dyDescent="0.2">
      <c r="A27" s="37"/>
      <c r="B27" s="441"/>
      <c r="C27" s="441"/>
      <c r="D27" s="441"/>
      <c r="E27" s="441"/>
      <c r="F27" s="441"/>
      <c r="G27" s="232"/>
      <c r="H27" s="210"/>
      <c r="I27" s="210"/>
      <c r="J27" s="210"/>
      <c r="K27" s="445">
        <f>SUM(D34:D36)</f>
        <v>15483007.605000004</v>
      </c>
      <c r="L27" s="444"/>
      <c r="M27" s="444"/>
      <c r="N27" s="444"/>
    </row>
    <row r="28" spans="1:14" x14ac:dyDescent="0.2">
      <c r="A28" s="37"/>
      <c r="B28" s="221" t="s">
        <v>869</v>
      </c>
      <c r="C28" s="222"/>
      <c r="D28" s="217"/>
      <c r="E28" s="224"/>
      <c r="F28" s="225"/>
      <c r="G28" s="232"/>
      <c r="H28" s="210"/>
      <c r="I28" s="235"/>
      <c r="J28" s="210"/>
      <c r="K28" s="446"/>
      <c r="L28" s="444"/>
      <c r="M28" s="444"/>
      <c r="N28" s="444"/>
    </row>
    <row r="29" spans="1:14" x14ac:dyDescent="0.2">
      <c r="A29" s="37"/>
      <c r="B29" s="226" t="s">
        <v>223</v>
      </c>
      <c r="C29" s="226"/>
      <c r="D29" s="217">
        <f>خلاصة!E6</f>
        <v>7356033</v>
      </c>
      <c r="E29" s="227"/>
      <c r="F29" s="225"/>
      <c r="G29" s="232"/>
      <c r="H29" s="210"/>
      <c r="I29" s="236"/>
      <c r="J29" s="210"/>
      <c r="K29" s="447"/>
      <c r="L29" s="444"/>
      <c r="M29" s="444"/>
      <c r="N29" s="444"/>
    </row>
    <row r="30" spans="1:14" x14ac:dyDescent="0.2">
      <c r="A30" s="37"/>
      <c r="B30" s="226" t="s">
        <v>870</v>
      </c>
      <c r="C30" s="226"/>
      <c r="D30" s="217">
        <f>خلاصة!E8</f>
        <v>27000</v>
      </c>
      <c r="E30" s="227"/>
      <c r="F30" s="225"/>
      <c r="G30" s="232"/>
      <c r="H30" s="210"/>
      <c r="I30" s="235"/>
      <c r="J30" s="210"/>
      <c r="K30" s="237">
        <f>D37</f>
        <v>337729</v>
      </c>
      <c r="L30" s="435">
        <f>SUM(K30:K31)</f>
        <v>0</v>
      </c>
      <c r="M30" s="210"/>
      <c r="N30" s="210"/>
    </row>
    <row r="31" spans="1:14" x14ac:dyDescent="0.2">
      <c r="A31" s="37"/>
      <c r="B31" s="226" t="s">
        <v>871</v>
      </c>
      <c r="C31" s="226"/>
      <c r="D31" s="217">
        <f>-'ن-باب'!E12</f>
        <v>-569621.19700000004</v>
      </c>
      <c r="E31" s="227"/>
      <c r="F31" s="225"/>
      <c r="G31" s="232"/>
      <c r="H31" s="270"/>
      <c r="I31" s="235"/>
      <c r="J31" s="210"/>
      <c r="K31" s="237">
        <f>D38</f>
        <v>-337729</v>
      </c>
      <c r="L31" s="436"/>
      <c r="M31" s="210"/>
      <c r="N31" s="210"/>
    </row>
    <row r="32" spans="1:14" x14ac:dyDescent="0.2">
      <c r="A32" s="37"/>
      <c r="B32" s="264" t="str">
        <f>خلاصة!J17</f>
        <v>تسديد عجز موازنة السنة المالية الحالية</v>
      </c>
      <c r="C32" s="226"/>
      <c r="D32" s="217">
        <f>-خلاصة!M17</f>
        <v>-107525.73000000417</v>
      </c>
      <c r="E32" s="448" t="s">
        <v>516</v>
      </c>
      <c r="F32" s="449"/>
      <c r="G32" s="232"/>
      <c r="H32" s="270"/>
      <c r="I32" s="235"/>
      <c r="J32" s="210"/>
      <c r="K32" s="210"/>
      <c r="L32" s="210"/>
      <c r="M32" s="210"/>
      <c r="N32" s="210"/>
    </row>
    <row r="33" spans="1:14" ht="14.25" customHeight="1" x14ac:dyDescent="0.2">
      <c r="A33" s="37"/>
      <c r="B33" s="265" t="str">
        <f>خلاصة!J18</f>
        <v>تسديد ذمة عجز موازنة التمويل المتراكم</v>
      </c>
      <c r="C33" s="226"/>
      <c r="D33" s="217">
        <f>-خلاصة!M18</f>
        <v>-15375481.875</v>
      </c>
      <c r="E33" s="450"/>
      <c r="F33" s="451"/>
      <c r="H33" s="271"/>
      <c r="N33" s="210"/>
    </row>
    <row r="34" spans="1:14" x14ac:dyDescent="0.2">
      <c r="A34" s="37"/>
      <c r="B34" s="226" t="str">
        <f>خلاصة!C15</f>
        <v>تسهيلات بنكية/جاري مدين</v>
      </c>
      <c r="C34" s="226"/>
      <c r="D34" s="217">
        <f>خلاصة!E15</f>
        <v>7000000</v>
      </c>
      <c r="E34" s="450"/>
      <c r="F34" s="451"/>
      <c r="H34" s="271"/>
      <c r="I34" s="271"/>
      <c r="N34" s="210"/>
    </row>
    <row r="35" spans="1:14" x14ac:dyDescent="0.2">
      <c r="A35" s="37"/>
      <c r="B35" s="226" t="str">
        <f>خلاصة!C16</f>
        <v>قرض  بنك القاهرة عمان/ سلفة البنك المركزي للجامعات الحكومية</v>
      </c>
      <c r="C35" s="226"/>
      <c r="D35" s="217">
        <f>خلاصة!E16</f>
        <v>1999946</v>
      </c>
      <c r="E35" s="450"/>
      <c r="F35" s="451"/>
      <c r="J35" s="210"/>
      <c r="N35" s="210"/>
    </row>
    <row r="36" spans="1:14" x14ac:dyDescent="0.2">
      <c r="A36" s="37"/>
      <c r="B36" s="266" t="s">
        <v>567</v>
      </c>
      <c r="C36" s="226"/>
      <c r="D36" s="217">
        <f>خلاصة!E17</f>
        <v>6483061.6050000042</v>
      </c>
      <c r="E36" s="452"/>
      <c r="F36" s="453"/>
      <c r="J36" s="210"/>
      <c r="N36" s="210"/>
    </row>
    <row r="37" spans="1:14" x14ac:dyDescent="0.2">
      <c r="A37" s="37"/>
      <c r="B37" s="226" t="s">
        <v>872</v>
      </c>
      <c r="C37" s="226"/>
      <c r="D37" s="217">
        <f>خلاصة!E23</f>
        <v>337729</v>
      </c>
      <c r="E37" s="434" t="s">
        <v>394</v>
      </c>
      <c r="F37" s="434"/>
      <c r="J37" s="210"/>
      <c r="N37" s="210"/>
    </row>
    <row r="38" spans="1:14" x14ac:dyDescent="0.2">
      <c r="A38" s="37"/>
      <c r="B38" s="226" t="s">
        <v>873</v>
      </c>
      <c r="C38" s="226"/>
      <c r="D38" s="217">
        <f>-خلاصة!M23</f>
        <v>-337729</v>
      </c>
      <c r="E38" s="434"/>
      <c r="F38" s="434"/>
      <c r="J38" s="210"/>
      <c r="N38" s="210"/>
    </row>
    <row r="39" spans="1:14" x14ac:dyDescent="0.2">
      <c r="A39" s="37"/>
      <c r="B39" s="228" t="s">
        <v>874</v>
      </c>
      <c r="C39" s="229"/>
      <c r="D39" s="230"/>
      <c r="E39" s="231"/>
      <c r="F39" s="234">
        <f>SUM(D29:D38)</f>
        <v>6813411.8029999994</v>
      </c>
      <c r="H39" s="210"/>
      <c r="I39" s="210"/>
      <c r="J39" s="210"/>
      <c r="K39" s="210"/>
      <c r="L39" s="210"/>
      <c r="M39" s="210"/>
      <c r="N39" s="210"/>
    </row>
    <row r="40" spans="1:14" x14ac:dyDescent="0.2">
      <c r="A40" s="37"/>
      <c r="B40" s="437"/>
      <c r="C40" s="437"/>
      <c r="D40" s="437"/>
      <c r="E40" s="437"/>
      <c r="F40" s="437"/>
      <c r="G40" s="232"/>
      <c r="H40" s="210"/>
      <c r="I40" s="210"/>
      <c r="J40" s="210"/>
      <c r="K40" s="210"/>
      <c r="L40" s="210"/>
      <c r="M40" s="210"/>
      <c r="N40" s="210"/>
    </row>
    <row r="41" spans="1:14" x14ac:dyDescent="0.2">
      <c r="A41" s="37"/>
      <c r="B41" s="238" t="s">
        <v>875</v>
      </c>
      <c r="C41" s="238"/>
      <c r="D41" s="239"/>
      <c r="E41" s="240"/>
      <c r="F41" s="243">
        <f>F17+F26+F39</f>
        <v>739652.64900000207</v>
      </c>
      <c r="G41" s="232"/>
      <c r="H41" s="210"/>
      <c r="I41" s="210"/>
      <c r="J41" s="210"/>
      <c r="K41" s="210"/>
      <c r="L41" s="210"/>
      <c r="M41" s="210"/>
      <c r="N41" s="210"/>
    </row>
    <row r="42" spans="1:14" x14ac:dyDescent="0.2">
      <c r="A42" s="37"/>
      <c r="B42" s="226" t="s">
        <v>876</v>
      </c>
      <c r="C42" s="226"/>
      <c r="D42" s="241"/>
      <c r="E42" s="227"/>
      <c r="F42" s="242">
        <f>'أمانات وذمم'!C33</f>
        <v>-8983581.0480000004</v>
      </c>
      <c r="G42" s="232"/>
      <c r="H42" s="210"/>
      <c r="I42" s="210"/>
      <c r="J42" s="210"/>
      <c r="K42" s="210"/>
      <c r="L42" s="210"/>
      <c r="M42" s="210"/>
      <c r="N42" s="210"/>
    </row>
    <row r="43" spans="1:14" x14ac:dyDescent="0.2">
      <c r="A43" s="37"/>
      <c r="B43" s="226" t="s">
        <v>877</v>
      </c>
      <c r="C43" s="226"/>
      <c r="D43" s="241"/>
      <c r="E43" s="227"/>
      <c r="F43" s="244">
        <f>SUM(F41:F42)</f>
        <v>-8243928.3989999983</v>
      </c>
      <c r="G43" s="210"/>
      <c r="H43" s="210"/>
      <c r="I43" s="210"/>
      <c r="J43" s="210"/>
      <c r="K43" s="216">
        <f>'أمانات وذمم'!F33</f>
        <v>-8243928.3990000002</v>
      </c>
      <c r="L43" s="217">
        <f>K43-F43</f>
        <v>0</v>
      </c>
      <c r="M43" s="210"/>
      <c r="N43" s="210"/>
    </row>
  </sheetData>
  <mergeCells count="14">
    <mergeCell ref="E37:F38"/>
    <mergeCell ref="L30:L31"/>
    <mergeCell ref="B40:F40"/>
    <mergeCell ref="B1:F1"/>
    <mergeCell ref="C2:F2"/>
    <mergeCell ref="K15:N15"/>
    <mergeCell ref="B18:F18"/>
    <mergeCell ref="B27:F27"/>
    <mergeCell ref="K25:K26"/>
    <mergeCell ref="L25:L29"/>
    <mergeCell ref="K27:K29"/>
    <mergeCell ref="E32:F36"/>
    <mergeCell ref="M25:M29"/>
    <mergeCell ref="N25:N29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34"/>
  <sheetViews>
    <sheetView rightToLeft="1" zoomScaleNormal="100" workbookViewId="0">
      <pane ySplit="2" topLeftCell="A3" activePane="bottomLeft" state="frozen"/>
      <selection pane="bottomLeft" activeCell="U11" sqref="U11"/>
    </sheetView>
  </sheetViews>
  <sheetFormatPr defaultRowHeight="14.25" x14ac:dyDescent="0.2"/>
  <cols>
    <col min="1" max="1" width="1.625" customWidth="1"/>
    <col min="2" max="2" width="25.25" bestFit="1" customWidth="1"/>
    <col min="3" max="3" width="11.25" bestFit="1" customWidth="1"/>
    <col min="4" max="4" width="7" bestFit="1" customWidth="1"/>
    <col min="5" max="5" width="10.25" bestFit="1" customWidth="1"/>
    <col min="6" max="6" width="11.375" bestFit="1" customWidth="1"/>
    <col min="7" max="7" width="11.125" bestFit="1" customWidth="1"/>
    <col min="8" max="9" width="9.375" hidden="1" customWidth="1"/>
    <col min="10" max="10" width="14.25" hidden="1" customWidth="1"/>
    <col min="11" max="11" width="10.125" hidden="1" customWidth="1"/>
    <col min="12" max="14" width="0" hidden="1" customWidth="1"/>
    <col min="15" max="15" width="10.375" hidden="1" customWidth="1"/>
  </cols>
  <sheetData>
    <row r="1" spans="1:15" ht="15.75" x14ac:dyDescent="0.2">
      <c r="A1" s="37"/>
      <c r="B1" s="455" t="s">
        <v>848</v>
      </c>
      <c r="C1" s="455"/>
      <c r="D1" s="455"/>
      <c r="E1" s="455"/>
      <c r="F1" s="455"/>
      <c r="G1" s="455"/>
    </row>
    <row r="2" spans="1:15" x14ac:dyDescent="0.2">
      <c r="A2" s="37"/>
      <c r="B2" s="215" t="s">
        <v>818</v>
      </c>
      <c r="C2" s="215" t="s">
        <v>819</v>
      </c>
      <c r="D2" s="215" t="s">
        <v>580</v>
      </c>
      <c r="E2" s="215" t="s">
        <v>820</v>
      </c>
      <c r="F2" s="215" t="s">
        <v>821</v>
      </c>
      <c r="G2" s="215" t="s">
        <v>822</v>
      </c>
    </row>
    <row r="3" spans="1:15" x14ac:dyDescent="0.2">
      <c r="A3" s="37"/>
      <c r="B3" s="454" t="s">
        <v>823</v>
      </c>
      <c r="C3" s="454"/>
      <c r="D3" s="454"/>
      <c r="E3" s="454"/>
      <c r="F3" s="454"/>
      <c r="G3" s="454"/>
    </row>
    <row r="4" spans="1:15" x14ac:dyDescent="0.2">
      <c r="A4" s="37"/>
      <c r="B4" s="253" t="s">
        <v>824</v>
      </c>
      <c r="C4" s="217">
        <v>-3261.53</v>
      </c>
      <c r="D4" s="217"/>
      <c r="E4" s="217">
        <v>-3261.53</v>
      </c>
      <c r="F4" s="217">
        <f t="shared" ref="F4:F9" si="0">D4+E4</f>
        <v>-3261.53</v>
      </c>
      <c r="G4" s="217">
        <f t="shared" ref="G4:G10" si="1">F4-C4</f>
        <v>0</v>
      </c>
      <c r="J4" s="253" t="s">
        <v>826</v>
      </c>
      <c r="K4" s="217">
        <v>-21049649.122000001</v>
      </c>
      <c r="L4" s="217"/>
      <c r="M4" s="217">
        <v>-5652904.0219999999</v>
      </c>
      <c r="N4" s="217">
        <f>L4+M4</f>
        <v>-5652904.0219999999</v>
      </c>
      <c r="O4" s="217">
        <f>N4-K4</f>
        <v>15396745.100000001</v>
      </c>
    </row>
    <row r="5" spans="1:15" x14ac:dyDescent="0.2">
      <c r="A5" s="37"/>
      <c r="B5" s="253" t="s">
        <v>825</v>
      </c>
      <c r="C5" s="217">
        <v>-511687.31800000003</v>
      </c>
      <c r="D5" s="217"/>
      <c r="E5" s="217">
        <v>-428287.43400000001</v>
      </c>
      <c r="F5" s="217">
        <f t="shared" si="0"/>
        <v>-428287.43400000001</v>
      </c>
      <c r="G5" s="217">
        <f t="shared" si="1"/>
        <v>83399.88400000002</v>
      </c>
      <c r="J5" s="253" t="s">
        <v>904</v>
      </c>
      <c r="K5" s="217">
        <v>-15375481.875</v>
      </c>
      <c r="L5" s="217"/>
      <c r="M5" s="217">
        <v>0</v>
      </c>
      <c r="N5" s="217">
        <f>L5+M5</f>
        <v>0</v>
      </c>
      <c r="O5" s="217">
        <f>N5-K5</f>
        <v>15375481.875</v>
      </c>
    </row>
    <row r="6" spans="1:15" x14ac:dyDescent="0.2">
      <c r="A6" s="37"/>
      <c r="B6" s="253" t="s">
        <v>826</v>
      </c>
      <c r="C6" s="217">
        <f>K6</f>
        <v>-5674167.2470000014</v>
      </c>
      <c r="D6" s="217"/>
      <c r="E6" s="217">
        <v>-5652904.0219999999</v>
      </c>
      <c r="F6" s="217">
        <f t="shared" si="0"/>
        <v>-5652904.0219999999</v>
      </c>
      <c r="G6" s="217">
        <f t="shared" si="1"/>
        <v>21263.22500000149</v>
      </c>
      <c r="J6" s="253" t="s">
        <v>826</v>
      </c>
      <c r="K6" s="217">
        <f>K4-K5</f>
        <v>-5674167.2470000014</v>
      </c>
      <c r="L6" s="217"/>
      <c r="M6" s="217"/>
      <c r="N6" s="217"/>
      <c r="O6" s="217">
        <f>O4-O5</f>
        <v>21263.22500000149</v>
      </c>
    </row>
    <row r="7" spans="1:15" x14ac:dyDescent="0.2">
      <c r="A7" s="37"/>
      <c r="B7" s="253" t="s">
        <v>827</v>
      </c>
      <c r="C7" s="217">
        <v>0</v>
      </c>
      <c r="D7" s="217"/>
      <c r="E7" s="217">
        <v>0</v>
      </c>
      <c r="F7" s="217">
        <f t="shared" si="0"/>
        <v>0</v>
      </c>
      <c r="G7" s="217">
        <f t="shared" si="1"/>
        <v>0</v>
      </c>
    </row>
    <row r="8" spans="1:15" s="37" customFormat="1" x14ac:dyDescent="0.2">
      <c r="B8" s="253" t="s">
        <v>841</v>
      </c>
      <c r="C8" s="217">
        <v>5473589.9890000001</v>
      </c>
      <c r="D8" s="217"/>
      <c r="E8" s="217">
        <v>5473138.5199999996</v>
      </c>
      <c r="F8" s="217">
        <f t="shared" si="0"/>
        <v>5473138.5199999996</v>
      </c>
      <c r="G8" s="217">
        <f t="shared" si="1"/>
        <v>-451.46900000050664</v>
      </c>
      <c r="J8" s="253" t="s">
        <v>905</v>
      </c>
      <c r="K8" s="217">
        <v>0</v>
      </c>
      <c r="L8" s="217"/>
      <c r="M8" s="217">
        <v>-13483061.605</v>
      </c>
      <c r="N8" s="217">
        <f>L8+M8</f>
        <v>-13483061.605</v>
      </c>
      <c r="O8" s="217">
        <f>N8-K8</f>
        <v>-13483061.605</v>
      </c>
    </row>
    <row r="9" spans="1:15" x14ac:dyDescent="0.2">
      <c r="A9" s="37"/>
      <c r="B9" s="253" t="s">
        <v>828</v>
      </c>
      <c r="C9" s="217">
        <v>-43210.1</v>
      </c>
      <c r="D9" s="217"/>
      <c r="E9" s="217">
        <v>0</v>
      </c>
      <c r="F9" s="217">
        <f t="shared" si="0"/>
        <v>0</v>
      </c>
      <c r="G9" s="217">
        <f t="shared" si="1"/>
        <v>43210.1</v>
      </c>
    </row>
    <row r="10" spans="1:15" x14ac:dyDescent="0.2">
      <c r="A10" s="37"/>
      <c r="B10" s="258" t="s">
        <v>829</v>
      </c>
      <c r="C10" s="259">
        <f>SUM(C4:C9)</f>
        <v>-758736.20600000152</v>
      </c>
      <c r="D10" s="259">
        <f t="shared" ref="D10" si="2">SUM(D4:D9)</f>
        <v>0</v>
      </c>
      <c r="E10" s="259">
        <f>SUM(E4:E9)</f>
        <v>-611314.46600000001</v>
      </c>
      <c r="F10" s="259">
        <f>SUM(F4:F9)</f>
        <v>-611314.46600000001</v>
      </c>
      <c r="G10" s="230">
        <f t="shared" si="1"/>
        <v>147421.7400000015</v>
      </c>
      <c r="H10" s="260">
        <f>SUM(G4:G9)</f>
        <v>147421.74000000101</v>
      </c>
      <c r="I10" s="217">
        <f>G10-H10</f>
        <v>4.9476511776447296E-10</v>
      </c>
    </row>
    <row r="11" spans="1:15" x14ac:dyDescent="0.2">
      <c r="A11" s="37"/>
      <c r="B11" s="456"/>
      <c r="C11" s="456"/>
      <c r="D11" s="456"/>
      <c r="E11" s="456"/>
      <c r="F11" s="456"/>
      <c r="G11" s="456"/>
      <c r="O11" s="217">
        <f>'أمانات وذمم'!F10-'أمانات وذمم'!F17</f>
        <v>-192379.96400000004</v>
      </c>
    </row>
    <row r="12" spans="1:15" s="37" customFormat="1" x14ac:dyDescent="0.2">
      <c r="B12" s="290" t="s">
        <v>908</v>
      </c>
      <c r="C12" s="291"/>
      <c r="D12" s="291"/>
      <c r="E12" s="291"/>
      <c r="F12" s="291"/>
      <c r="G12" s="217">
        <f>-خلاصة!E10</f>
        <v>-107525.73000000417</v>
      </c>
      <c r="O12" s="217">
        <f>F27-'التدفق النقدي'!D36</f>
        <v>-213679.43100000359</v>
      </c>
    </row>
    <row r="13" spans="1:15" x14ac:dyDescent="0.2">
      <c r="A13" s="37"/>
      <c r="B13" s="288" t="s">
        <v>830</v>
      </c>
      <c r="C13" s="218">
        <f>K5+K8</f>
        <v>-15375481.875</v>
      </c>
      <c r="D13" s="218"/>
      <c r="E13" s="218">
        <f>M8</f>
        <v>-13483061.605</v>
      </c>
      <c r="F13" s="218">
        <f>D13+E13</f>
        <v>-13483061.605</v>
      </c>
      <c r="G13" s="218">
        <f>F13-C13</f>
        <v>1892420.2699999996</v>
      </c>
      <c r="H13" s="218">
        <f>G13-G12</f>
        <v>1999946.0000000037</v>
      </c>
      <c r="O13" s="217">
        <f>O11-O12</f>
        <v>21299.467000003555</v>
      </c>
    </row>
    <row r="14" spans="1:15" s="1" customFormat="1" x14ac:dyDescent="0.2">
      <c r="B14" s="258" t="s">
        <v>907</v>
      </c>
      <c r="C14" s="230">
        <f>C10+C13</f>
        <v>-16134218.081000002</v>
      </c>
      <c r="D14" s="230">
        <f>D10+D13</f>
        <v>0</v>
      </c>
      <c r="E14" s="230">
        <f>E10+E13</f>
        <v>-14094376.071</v>
      </c>
      <c r="F14" s="230">
        <f>F10+F13</f>
        <v>-14094376.071</v>
      </c>
      <c r="G14" s="230">
        <f>F14-C14</f>
        <v>2039842.0100000016</v>
      </c>
      <c r="H14" s="261">
        <f>G10+G13</f>
        <v>2039842.0100000012</v>
      </c>
      <c r="I14" s="217">
        <f>G14-H14</f>
        <v>0</v>
      </c>
      <c r="O14" s="254">
        <f>O6-O13</f>
        <v>-36.242000002064742</v>
      </c>
    </row>
    <row r="15" spans="1:15" s="1" customFormat="1" x14ac:dyDescent="0.2">
      <c r="B15" s="289"/>
      <c r="C15" s="255"/>
      <c r="D15" s="255"/>
      <c r="E15" s="255"/>
      <c r="F15" s="255"/>
      <c r="G15" s="217"/>
      <c r="H15" s="256"/>
      <c r="O15" s="257"/>
    </row>
    <row r="16" spans="1:15" x14ac:dyDescent="0.2">
      <c r="A16" s="37"/>
      <c r="B16" s="454" t="s">
        <v>832</v>
      </c>
      <c r="C16" s="454"/>
      <c r="D16" s="454"/>
      <c r="E16" s="454"/>
      <c r="F16" s="454"/>
      <c r="G16" s="454"/>
    </row>
    <row r="17" spans="1:9" x14ac:dyDescent="0.2">
      <c r="A17" s="37"/>
      <c r="B17" s="253" t="s">
        <v>832</v>
      </c>
      <c r="C17" s="216">
        <v>-430894.315</v>
      </c>
      <c r="D17" s="217"/>
      <c r="E17" s="216">
        <v>-418934.50199999998</v>
      </c>
      <c r="F17" s="216">
        <f>D17+E17</f>
        <v>-418934.50199999998</v>
      </c>
      <c r="G17" s="217">
        <f>F17-C17</f>
        <v>11959.813000000024</v>
      </c>
    </row>
    <row r="18" spans="1:9" x14ac:dyDescent="0.2">
      <c r="A18" s="37"/>
      <c r="B18" s="258" t="s">
        <v>833</v>
      </c>
      <c r="C18" s="258"/>
      <c r="D18" s="258"/>
      <c r="E18" s="258"/>
      <c r="F18" s="258"/>
      <c r="G18" s="230">
        <f>SUM(G17)</f>
        <v>11959.813000000024</v>
      </c>
    </row>
    <row r="19" spans="1:9" x14ac:dyDescent="0.2">
      <c r="A19" s="37"/>
      <c r="B19" s="436"/>
      <c r="C19" s="436"/>
      <c r="D19" s="436"/>
      <c r="E19" s="436"/>
      <c r="F19" s="436"/>
      <c r="G19" s="436"/>
    </row>
    <row r="20" spans="1:9" x14ac:dyDescent="0.2">
      <c r="A20" s="37"/>
      <c r="B20" s="454" t="s">
        <v>834</v>
      </c>
      <c r="C20" s="454"/>
      <c r="D20" s="454"/>
      <c r="E20" s="454"/>
      <c r="F20" s="454"/>
      <c r="G20" s="454"/>
    </row>
    <row r="21" spans="1:9" x14ac:dyDescent="0.2">
      <c r="A21" s="37"/>
      <c r="B21" s="253" t="s">
        <v>835</v>
      </c>
      <c r="C21" s="217">
        <v>6854133.3880000003</v>
      </c>
      <c r="D21" s="217">
        <v>215102.52900000001</v>
      </c>
      <c r="E21" s="217">
        <v>4926157.3530000001</v>
      </c>
      <c r="F21" s="217">
        <f>D21+E21</f>
        <v>5141259.8820000002</v>
      </c>
      <c r="G21" s="217">
        <f>F21-C21</f>
        <v>-1712873.5060000001</v>
      </c>
    </row>
    <row r="22" spans="1:9" x14ac:dyDescent="0.2">
      <c r="A22" s="37"/>
      <c r="B22" s="253" t="s">
        <v>836</v>
      </c>
      <c r="C22" s="217">
        <v>3539.8020000000001</v>
      </c>
      <c r="D22" s="217">
        <v>0</v>
      </c>
      <c r="E22" s="217">
        <v>232302.54300000001</v>
      </c>
      <c r="F22" s="217">
        <f t="shared" ref="F22:F26" si="3">D22+E22</f>
        <v>232302.54300000001</v>
      </c>
      <c r="G22" s="217">
        <f t="shared" ref="G22:G24" si="4">F22-C22</f>
        <v>228762.74100000001</v>
      </c>
    </row>
    <row r="23" spans="1:9" x14ac:dyDescent="0.2">
      <c r="A23" s="37"/>
      <c r="B23" s="253" t="s">
        <v>837</v>
      </c>
      <c r="C23" s="217">
        <v>5568.1189999999997</v>
      </c>
      <c r="D23" s="217">
        <v>0</v>
      </c>
      <c r="E23" s="217">
        <v>7856.7309999999998</v>
      </c>
      <c r="F23" s="217">
        <f t="shared" si="3"/>
        <v>7856.7309999999998</v>
      </c>
      <c r="G23" s="217">
        <f t="shared" si="4"/>
        <v>2288.6120000000001</v>
      </c>
    </row>
    <row r="24" spans="1:9" x14ac:dyDescent="0.2">
      <c r="A24" s="37"/>
      <c r="B24" s="253" t="s">
        <v>838</v>
      </c>
      <c r="C24" s="217">
        <v>579140.31599999999</v>
      </c>
      <c r="D24" s="217">
        <v>0</v>
      </c>
      <c r="E24" s="217">
        <v>748179.49600000004</v>
      </c>
      <c r="F24" s="217">
        <f t="shared" si="3"/>
        <v>748179.49600000004</v>
      </c>
      <c r="G24" s="217">
        <f t="shared" si="4"/>
        <v>169039.18000000005</v>
      </c>
    </row>
    <row r="25" spans="1:9" x14ac:dyDescent="0.2">
      <c r="A25" s="37"/>
      <c r="B25" s="253" t="s">
        <v>839</v>
      </c>
      <c r="C25" s="217">
        <v>39108.038999999997</v>
      </c>
      <c r="D25" s="217">
        <v>0</v>
      </c>
      <c r="E25" s="217">
        <v>39741.838000000003</v>
      </c>
      <c r="F25" s="217">
        <f>D25+E25</f>
        <v>39741.838000000003</v>
      </c>
      <c r="G25" s="217">
        <f>F25-C25</f>
        <v>633.79900000000634</v>
      </c>
    </row>
    <row r="26" spans="1:9" x14ac:dyDescent="0.2">
      <c r="A26" s="37"/>
      <c r="B26" s="253" t="s">
        <v>840</v>
      </c>
      <c r="C26" s="217">
        <v>100041.68399999999</v>
      </c>
      <c r="D26" s="217">
        <v>100041.68399999999</v>
      </c>
      <c r="E26" s="217">
        <v>0</v>
      </c>
      <c r="F26" s="217">
        <f t="shared" si="3"/>
        <v>100041.68399999999</v>
      </c>
      <c r="G26" s="217">
        <f>F26-C26</f>
        <v>0</v>
      </c>
    </row>
    <row r="27" spans="1:9" x14ac:dyDescent="0.2">
      <c r="A27" s="37"/>
      <c r="B27" s="258" t="s">
        <v>842</v>
      </c>
      <c r="C27" s="230">
        <f>SUM(C21:C26)</f>
        <v>7581531.3480000002</v>
      </c>
      <c r="D27" s="230">
        <f>SUM(D21:D26)</f>
        <v>315144.21299999999</v>
      </c>
      <c r="E27" s="230">
        <f>SUM(E21:E26)</f>
        <v>5954237.9610000001</v>
      </c>
      <c r="F27" s="230">
        <f>SUM(F21:F26)</f>
        <v>6269382.1740000006</v>
      </c>
      <c r="G27" s="230">
        <f>F27-C27</f>
        <v>-1312149.1739999996</v>
      </c>
      <c r="H27" s="261">
        <f>SUM(G21:G26)</f>
        <v>-1312149.1740000001</v>
      </c>
      <c r="I27" s="217">
        <f>H27-G27</f>
        <v>0</v>
      </c>
    </row>
    <row r="28" spans="1:9" x14ac:dyDescent="0.2">
      <c r="A28" s="37"/>
      <c r="B28" s="456"/>
      <c r="C28" s="456"/>
      <c r="D28" s="456"/>
      <c r="E28" s="456"/>
      <c r="F28" s="456"/>
      <c r="G28" s="456"/>
    </row>
    <row r="29" spans="1:9" x14ac:dyDescent="0.2">
      <c r="A29" s="37"/>
      <c r="B29" s="253"/>
      <c r="C29" s="217"/>
      <c r="D29" s="217"/>
      <c r="E29" s="217"/>
      <c r="F29" s="217"/>
      <c r="G29" s="244"/>
    </row>
    <row r="30" spans="1:9" x14ac:dyDescent="0.2">
      <c r="A30" s="37"/>
      <c r="B30" s="253" t="s">
        <v>843</v>
      </c>
      <c r="C30" s="217"/>
      <c r="D30" s="217"/>
      <c r="E30" s="217"/>
      <c r="F30" s="217"/>
      <c r="G30" s="217">
        <f>G14+G18+G27</f>
        <v>739652.64900000207</v>
      </c>
    </row>
    <row r="31" spans="1:9" x14ac:dyDescent="0.2">
      <c r="A31" s="37"/>
      <c r="B31" s="454" t="s">
        <v>844</v>
      </c>
      <c r="C31" s="454"/>
      <c r="D31" s="454"/>
      <c r="E31" s="454"/>
      <c r="F31" s="454"/>
      <c r="G31" s="454"/>
    </row>
    <row r="32" spans="1:9" x14ac:dyDescent="0.2">
      <c r="A32" s="37"/>
      <c r="B32" s="253" t="s">
        <v>845</v>
      </c>
      <c r="C32" s="217">
        <v>0</v>
      </c>
      <c r="D32" s="217"/>
      <c r="E32" s="217">
        <v>0</v>
      </c>
      <c r="F32" s="217">
        <f>D32+E32</f>
        <v>0</v>
      </c>
      <c r="G32" s="217">
        <f>F32-C32</f>
        <v>0</v>
      </c>
    </row>
    <row r="33" spans="1:8" x14ac:dyDescent="0.2">
      <c r="A33" s="37"/>
      <c r="B33" s="253" t="s">
        <v>846</v>
      </c>
      <c r="C33" s="217">
        <v>-8983581.0480000004</v>
      </c>
      <c r="D33" s="217"/>
      <c r="E33" s="217">
        <v>-8243928.3990000002</v>
      </c>
      <c r="F33" s="217">
        <f>D33+E33</f>
        <v>-8243928.3990000002</v>
      </c>
      <c r="G33" s="217">
        <f>F33-C33</f>
        <v>739652.64900000021</v>
      </c>
    </row>
    <row r="34" spans="1:8" x14ac:dyDescent="0.2">
      <c r="A34" s="37"/>
      <c r="B34" s="329" t="s">
        <v>847</v>
      </c>
      <c r="C34" s="329"/>
      <c r="D34" s="329"/>
      <c r="E34" s="329"/>
      <c r="F34" s="329"/>
      <c r="G34" s="230">
        <f>SUM(G32:G33)</f>
        <v>739652.64900000021</v>
      </c>
      <c r="H34" s="262">
        <f>G30-G34</f>
        <v>1.862645149230957E-9</v>
      </c>
    </row>
  </sheetData>
  <mergeCells count="9">
    <mergeCell ref="B16:G16"/>
    <mergeCell ref="B1:G1"/>
    <mergeCell ref="B3:G3"/>
    <mergeCell ref="B11:G11"/>
    <mergeCell ref="B34:F34"/>
    <mergeCell ref="B19:G19"/>
    <mergeCell ref="B20:G20"/>
    <mergeCell ref="B28:G28"/>
    <mergeCell ref="B31:G31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H9"/>
  <sheetViews>
    <sheetView rightToLeft="1" workbookViewId="0">
      <selection activeCell="B3" sqref="B3:H9"/>
    </sheetView>
  </sheetViews>
  <sheetFormatPr defaultRowHeight="14.25" x14ac:dyDescent="0.2"/>
  <cols>
    <col min="2" max="2" width="31.375" style="278" bestFit="1" customWidth="1"/>
    <col min="3" max="8" width="8.625" style="279" customWidth="1"/>
  </cols>
  <sheetData>
    <row r="3" spans="2:8" x14ac:dyDescent="0.2">
      <c r="B3" s="457" t="s">
        <v>920</v>
      </c>
      <c r="C3" s="457"/>
      <c r="D3" s="457"/>
      <c r="E3" s="457"/>
      <c r="F3" s="457"/>
      <c r="G3" s="457"/>
      <c r="H3" s="457"/>
    </row>
    <row r="4" spans="2:8" ht="31.5" x14ac:dyDescent="0.2">
      <c r="B4" s="275" t="s">
        <v>326</v>
      </c>
      <c r="C4" s="276" t="s">
        <v>914</v>
      </c>
      <c r="D4" s="276" t="s">
        <v>915</v>
      </c>
      <c r="E4" s="276" t="s">
        <v>916</v>
      </c>
      <c r="F4" s="276" t="s">
        <v>917</v>
      </c>
      <c r="G4" s="276" t="s">
        <v>918</v>
      </c>
      <c r="H4" s="276" t="s">
        <v>919</v>
      </c>
    </row>
    <row r="5" spans="2:8" ht="15.75" x14ac:dyDescent="0.2">
      <c r="B5" s="280" t="s">
        <v>910</v>
      </c>
      <c r="C5" s="277">
        <v>44</v>
      </c>
      <c r="D5" s="277">
        <v>869</v>
      </c>
      <c r="E5" s="277">
        <v>210</v>
      </c>
      <c r="F5" s="277">
        <v>12</v>
      </c>
      <c r="G5" s="277">
        <v>9</v>
      </c>
      <c r="H5" s="277">
        <v>6</v>
      </c>
    </row>
    <row r="6" spans="2:8" ht="15.75" x14ac:dyDescent="0.2">
      <c r="B6" s="280" t="s">
        <v>911</v>
      </c>
      <c r="C6" s="277">
        <v>230</v>
      </c>
      <c r="D6" s="277">
        <v>29</v>
      </c>
      <c r="E6" s="277"/>
      <c r="F6" s="277"/>
      <c r="G6" s="277"/>
      <c r="H6" s="277"/>
    </row>
    <row r="7" spans="2:8" ht="15.75" x14ac:dyDescent="0.2">
      <c r="B7" s="280" t="s">
        <v>912</v>
      </c>
      <c r="C7" s="277">
        <v>130</v>
      </c>
      <c r="D7" s="277"/>
      <c r="E7" s="277"/>
      <c r="F7" s="277"/>
      <c r="G7" s="277"/>
      <c r="H7" s="277"/>
    </row>
    <row r="8" spans="2:8" ht="15.75" x14ac:dyDescent="0.2">
      <c r="B8" s="280" t="s">
        <v>913</v>
      </c>
      <c r="C8" s="277">
        <v>25</v>
      </c>
      <c r="D8" s="277">
        <v>11</v>
      </c>
      <c r="E8" s="277">
        <v>17</v>
      </c>
      <c r="F8" s="277"/>
      <c r="G8" s="277">
        <v>2</v>
      </c>
      <c r="H8" s="277"/>
    </row>
    <row r="9" spans="2:8" ht="15.75" x14ac:dyDescent="0.2">
      <c r="B9" s="280" t="s">
        <v>921</v>
      </c>
      <c r="C9" s="277">
        <v>7</v>
      </c>
      <c r="D9" s="277">
        <v>8</v>
      </c>
      <c r="E9" s="277"/>
      <c r="F9" s="277"/>
      <c r="G9" s="277"/>
      <c r="H9" s="277"/>
    </row>
  </sheetData>
  <mergeCells count="1">
    <mergeCell ref="B3:H3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N448"/>
  <sheetViews>
    <sheetView rightToLeft="1" workbookViewId="0">
      <pane ySplit="1" topLeftCell="A2" activePane="bottomLeft" state="frozen"/>
      <selection pane="bottomLeft" activeCell="N448" sqref="B1:N448"/>
    </sheetView>
  </sheetViews>
  <sheetFormatPr defaultRowHeight="14.25" x14ac:dyDescent="0.2"/>
  <cols>
    <col min="1" max="1" width="1.625" customWidth="1"/>
    <col min="2" max="2" width="20.625" customWidth="1"/>
    <col min="3" max="3" width="7.875" bestFit="1" customWidth="1"/>
    <col min="4" max="4" width="36" bestFit="1" customWidth="1"/>
    <col min="5" max="7" width="12" bestFit="1" customWidth="1"/>
    <col min="8" max="8" width="9.75" bestFit="1" customWidth="1"/>
    <col min="9" max="9" width="4.375" style="1" customWidth="1"/>
    <col min="10" max="12" width="8.375" customWidth="1"/>
    <col min="13" max="13" width="10.125" bestFit="1" customWidth="1"/>
    <col min="14" max="14" width="6.625" style="20" customWidth="1"/>
  </cols>
  <sheetData>
    <row r="1" spans="2:14" ht="39" thickBot="1" x14ac:dyDescent="0.25">
      <c r="B1" s="151" t="s">
        <v>326</v>
      </c>
      <c r="C1" s="151" t="s">
        <v>328</v>
      </c>
      <c r="D1" s="151" t="s">
        <v>329</v>
      </c>
      <c r="E1" s="151" t="s">
        <v>577</v>
      </c>
      <c r="F1" s="151" t="s">
        <v>578</v>
      </c>
      <c r="G1" s="151" t="s">
        <v>585</v>
      </c>
      <c r="H1" s="151" t="s">
        <v>580</v>
      </c>
      <c r="I1" s="156"/>
      <c r="J1" s="151" t="s">
        <v>579</v>
      </c>
      <c r="K1" s="151" t="s">
        <v>581</v>
      </c>
      <c r="L1" s="151" t="s">
        <v>582</v>
      </c>
      <c r="M1" s="151" t="s">
        <v>583</v>
      </c>
      <c r="N1" s="161" t="s">
        <v>584</v>
      </c>
    </row>
    <row r="2" spans="2:14" ht="15.75" thickBot="1" x14ac:dyDescent="0.3">
      <c r="B2" s="148" t="s">
        <v>330</v>
      </c>
      <c r="C2" s="149">
        <v>20103001</v>
      </c>
      <c r="D2" s="149" t="s">
        <v>22</v>
      </c>
      <c r="E2" s="160">
        <v>65000</v>
      </c>
      <c r="F2" s="160">
        <v>65000</v>
      </c>
      <c r="G2" s="160">
        <v>57735.188000000002</v>
      </c>
      <c r="H2" s="160">
        <v>0</v>
      </c>
      <c r="I2" s="157"/>
      <c r="J2" s="149">
        <v>57735.188000000002</v>
      </c>
      <c r="K2" s="149">
        <v>0</v>
      </c>
      <c r="L2" s="149">
        <v>65000</v>
      </c>
      <c r="M2" s="149" t="s">
        <v>586</v>
      </c>
      <c r="N2" s="162"/>
    </row>
    <row r="3" spans="2:14" ht="15.75" thickBot="1" x14ac:dyDescent="0.3">
      <c r="B3" s="148"/>
      <c r="C3" s="149">
        <v>23603001</v>
      </c>
      <c r="D3" s="149" t="s">
        <v>587</v>
      </c>
      <c r="E3" s="160">
        <v>12000</v>
      </c>
      <c r="F3" s="160">
        <v>12000</v>
      </c>
      <c r="G3" s="160">
        <v>2140.3789999999999</v>
      </c>
      <c r="H3" s="160">
        <v>0</v>
      </c>
      <c r="I3" s="157"/>
      <c r="J3" s="149">
        <v>2140.3789999999999</v>
      </c>
      <c r="K3" s="149">
        <v>0</v>
      </c>
      <c r="L3" s="149">
        <v>12000</v>
      </c>
      <c r="M3" s="149" t="s">
        <v>586</v>
      </c>
      <c r="N3" s="162"/>
    </row>
    <row r="4" spans="2:14" ht="15.75" thickBot="1" x14ac:dyDescent="0.3">
      <c r="B4" s="148"/>
      <c r="C4" s="149">
        <v>23603004</v>
      </c>
      <c r="D4" s="149" t="s">
        <v>64</v>
      </c>
      <c r="E4" s="160">
        <v>3000</v>
      </c>
      <c r="F4" s="160">
        <v>3000</v>
      </c>
      <c r="G4" s="160">
        <v>1043.3900000000001</v>
      </c>
      <c r="H4" s="160">
        <v>0</v>
      </c>
      <c r="I4" s="157"/>
      <c r="J4" s="149">
        <v>1043.3900000000001</v>
      </c>
      <c r="K4" s="149">
        <v>0</v>
      </c>
      <c r="L4" s="149">
        <v>3000</v>
      </c>
      <c r="M4" s="149" t="s">
        <v>586</v>
      </c>
      <c r="N4" s="162"/>
    </row>
    <row r="5" spans="2:14" ht="15" thickBot="1" x14ac:dyDescent="0.25">
      <c r="B5" s="152"/>
      <c r="C5" s="37"/>
      <c r="D5" s="37"/>
      <c r="E5" s="159"/>
      <c r="F5" s="159"/>
      <c r="G5" s="159"/>
      <c r="H5" s="159"/>
      <c r="J5" s="37"/>
      <c r="K5" s="37"/>
      <c r="L5" s="37"/>
      <c r="M5" s="37"/>
      <c r="N5" s="163"/>
    </row>
    <row r="6" spans="2:14" ht="15.75" thickBot="1" x14ac:dyDescent="0.3">
      <c r="B6" s="148" t="s">
        <v>337</v>
      </c>
      <c r="C6" s="153">
        <v>1</v>
      </c>
      <c r="D6" s="153" t="s">
        <v>588</v>
      </c>
      <c r="E6" s="159">
        <v>0</v>
      </c>
      <c r="F6" s="159">
        <v>0</v>
      </c>
      <c r="G6" s="159">
        <v>0</v>
      </c>
      <c r="H6" s="159">
        <v>0</v>
      </c>
      <c r="I6" s="157"/>
      <c r="J6" s="153">
        <v>0</v>
      </c>
      <c r="K6" s="153">
        <v>100000</v>
      </c>
      <c r="L6" s="153">
        <v>100000</v>
      </c>
      <c r="M6" s="153" t="s">
        <v>586</v>
      </c>
      <c r="N6" s="164"/>
    </row>
    <row r="7" spans="2:14" ht="15.75" thickBot="1" x14ac:dyDescent="0.3">
      <c r="B7" s="148"/>
      <c r="C7" s="149">
        <v>20103001</v>
      </c>
      <c r="D7" s="149" t="s">
        <v>22</v>
      </c>
      <c r="E7" s="160">
        <v>112000</v>
      </c>
      <c r="F7" s="160">
        <v>112000</v>
      </c>
      <c r="G7" s="160">
        <v>96063.206000000006</v>
      </c>
      <c r="H7" s="160">
        <v>0</v>
      </c>
      <c r="I7" s="157"/>
      <c r="J7" s="149">
        <v>96063.2</v>
      </c>
      <c r="K7" s="149">
        <v>0</v>
      </c>
      <c r="L7" s="149">
        <v>110000</v>
      </c>
      <c r="M7" s="149" t="s">
        <v>586</v>
      </c>
      <c r="N7" s="162"/>
    </row>
    <row r="8" spans="2:14" ht="15.75" thickBot="1" x14ac:dyDescent="0.3">
      <c r="B8" s="148"/>
      <c r="C8" s="149">
        <v>23603002</v>
      </c>
      <c r="D8" s="149" t="s">
        <v>63</v>
      </c>
      <c r="E8" s="160">
        <v>75</v>
      </c>
      <c r="F8" s="160">
        <v>75</v>
      </c>
      <c r="G8" s="160">
        <v>75</v>
      </c>
      <c r="H8" s="160">
        <v>0</v>
      </c>
      <c r="I8" s="157"/>
      <c r="J8" s="149">
        <v>75</v>
      </c>
      <c r="K8" s="149">
        <v>0</v>
      </c>
      <c r="L8" s="149">
        <v>75</v>
      </c>
      <c r="M8" s="149" t="s">
        <v>586</v>
      </c>
      <c r="N8" s="162"/>
    </row>
    <row r="9" spans="2:14" ht="15" thickBot="1" x14ac:dyDescent="0.25">
      <c r="B9" s="152"/>
      <c r="C9" s="37"/>
      <c r="D9" s="37"/>
      <c r="E9" s="159"/>
      <c r="F9" s="159"/>
      <c r="G9" s="159"/>
      <c r="H9" s="159"/>
      <c r="J9" s="37"/>
      <c r="K9" s="37"/>
      <c r="L9" s="37"/>
      <c r="M9" s="37"/>
      <c r="N9" s="163"/>
    </row>
    <row r="10" spans="2:14" ht="15.75" thickBot="1" x14ac:dyDescent="0.3">
      <c r="B10" s="148" t="s">
        <v>338</v>
      </c>
      <c r="C10" s="149">
        <v>20103001</v>
      </c>
      <c r="D10" s="149" t="s">
        <v>22</v>
      </c>
      <c r="E10" s="160">
        <v>50000</v>
      </c>
      <c r="F10" s="160">
        <v>50000</v>
      </c>
      <c r="G10" s="160">
        <v>46508.487999999998</v>
      </c>
      <c r="H10" s="160">
        <v>0</v>
      </c>
      <c r="I10" s="157"/>
      <c r="J10" s="149">
        <v>46508.49</v>
      </c>
      <c r="K10" s="149">
        <v>0</v>
      </c>
      <c r="L10" s="149">
        <v>50000</v>
      </c>
      <c r="M10" s="149" t="s">
        <v>586</v>
      </c>
      <c r="N10" s="162"/>
    </row>
    <row r="11" spans="2:14" ht="15.75" thickBot="1" x14ac:dyDescent="0.3">
      <c r="B11" s="148"/>
      <c r="C11" s="149">
        <v>23603002</v>
      </c>
      <c r="D11" s="149" t="s">
        <v>63</v>
      </c>
      <c r="E11" s="160">
        <v>75</v>
      </c>
      <c r="F11" s="160">
        <v>75</v>
      </c>
      <c r="G11" s="160">
        <v>75</v>
      </c>
      <c r="H11" s="160">
        <v>0</v>
      </c>
      <c r="I11" s="157"/>
      <c r="J11" s="149">
        <v>75</v>
      </c>
      <c r="K11" s="149">
        <v>100</v>
      </c>
      <c r="L11" s="149">
        <v>75</v>
      </c>
      <c r="M11" s="149" t="s">
        <v>586</v>
      </c>
      <c r="N11" s="162"/>
    </row>
    <row r="12" spans="2:14" ht="15.75" thickBot="1" x14ac:dyDescent="0.3">
      <c r="B12" s="148"/>
      <c r="C12" s="149">
        <v>25101011</v>
      </c>
      <c r="D12" s="149" t="s">
        <v>589</v>
      </c>
      <c r="E12" s="160">
        <v>30000</v>
      </c>
      <c r="F12" s="160">
        <v>40000</v>
      </c>
      <c r="G12" s="160">
        <v>33133.493999999999</v>
      </c>
      <c r="H12" s="160">
        <v>0</v>
      </c>
      <c r="I12" s="157"/>
      <c r="J12" s="149">
        <v>33133.491999999998</v>
      </c>
      <c r="K12" s="149">
        <v>30000</v>
      </c>
      <c r="L12" s="149">
        <v>30000</v>
      </c>
      <c r="M12" s="149" t="s">
        <v>586</v>
      </c>
      <c r="N12" s="162"/>
    </row>
    <row r="13" spans="2:14" ht="15" thickBot="1" x14ac:dyDescent="0.25">
      <c r="B13" s="152"/>
      <c r="C13" s="37"/>
      <c r="D13" s="37"/>
      <c r="E13" s="159"/>
      <c r="F13" s="159"/>
      <c r="G13" s="159"/>
      <c r="H13" s="159"/>
      <c r="J13" s="37"/>
      <c r="K13" s="37"/>
      <c r="L13" s="37"/>
      <c r="M13" s="37"/>
      <c r="N13" s="163"/>
    </row>
    <row r="14" spans="2:14" ht="15.75" thickBot="1" x14ac:dyDescent="0.3">
      <c r="B14" s="148" t="s">
        <v>590</v>
      </c>
      <c r="C14" s="149">
        <v>20103001</v>
      </c>
      <c r="D14" s="149" t="s">
        <v>22</v>
      </c>
      <c r="E14" s="160">
        <v>135000</v>
      </c>
      <c r="F14" s="160">
        <v>120000</v>
      </c>
      <c r="G14" s="160">
        <v>105702.417</v>
      </c>
      <c r="H14" s="160">
        <v>0</v>
      </c>
      <c r="I14" s="157"/>
      <c r="J14" s="149">
        <v>105702.414</v>
      </c>
      <c r="K14" s="149">
        <v>0</v>
      </c>
      <c r="L14" s="149">
        <v>110000</v>
      </c>
      <c r="M14" s="149" t="s">
        <v>586</v>
      </c>
      <c r="N14" s="162"/>
    </row>
    <row r="15" spans="2:14" ht="15.75" thickBot="1" x14ac:dyDescent="0.3">
      <c r="B15" s="148"/>
      <c r="C15" s="149">
        <v>21606003</v>
      </c>
      <c r="D15" s="149" t="s">
        <v>41</v>
      </c>
      <c r="E15" s="160">
        <v>500</v>
      </c>
      <c r="F15" s="160">
        <v>500</v>
      </c>
      <c r="G15" s="160">
        <v>0</v>
      </c>
      <c r="H15" s="160">
        <v>0</v>
      </c>
      <c r="I15" s="157"/>
      <c r="J15" s="149">
        <v>0</v>
      </c>
      <c r="K15" s="149">
        <v>3000</v>
      </c>
      <c r="L15" s="149">
        <v>500</v>
      </c>
      <c r="M15" s="149" t="s">
        <v>586</v>
      </c>
      <c r="N15" s="162"/>
    </row>
    <row r="16" spans="2:14" ht="15.75" thickBot="1" x14ac:dyDescent="0.3">
      <c r="B16" s="148"/>
      <c r="C16" s="149">
        <v>23603002</v>
      </c>
      <c r="D16" s="149" t="s">
        <v>63</v>
      </c>
      <c r="E16" s="160">
        <v>75</v>
      </c>
      <c r="F16" s="160">
        <v>75</v>
      </c>
      <c r="G16" s="160">
        <v>75</v>
      </c>
      <c r="H16" s="160">
        <v>0</v>
      </c>
      <c r="I16" s="157"/>
      <c r="J16" s="149">
        <v>75</v>
      </c>
      <c r="K16" s="149">
        <v>50000</v>
      </c>
      <c r="L16" s="149">
        <v>75</v>
      </c>
      <c r="M16" s="149" t="s">
        <v>586</v>
      </c>
      <c r="N16" s="162"/>
    </row>
    <row r="17" spans="2:14" ht="15.75" thickBot="1" x14ac:dyDescent="0.3">
      <c r="B17" s="148"/>
      <c r="C17" s="149">
        <v>23605001</v>
      </c>
      <c r="D17" s="149" t="s">
        <v>65</v>
      </c>
      <c r="E17" s="160">
        <v>10000</v>
      </c>
      <c r="F17" s="160">
        <v>10000</v>
      </c>
      <c r="G17" s="160">
        <v>9121.1239999999998</v>
      </c>
      <c r="H17" s="160">
        <v>0</v>
      </c>
      <c r="I17" s="157"/>
      <c r="J17" s="149">
        <v>9121.1239999999998</v>
      </c>
      <c r="K17" s="149">
        <v>60000</v>
      </c>
      <c r="L17" s="149">
        <v>15000</v>
      </c>
      <c r="M17" s="149" t="s">
        <v>586</v>
      </c>
      <c r="N17" s="162"/>
    </row>
    <row r="18" spans="2:14" ht="15.75" thickBot="1" x14ac:dyDescent="0.3">
      <c r="B18" s="148"/>
      <c r="C18" s="149">
        <v>23605002</v>
      </c>
      <c r="D18" s="149" t="s">
        <v>452</v>
      </c>
      <c r="E18" s="160">
        <v>1000</v>
      </c>
      <c r="F18" s="160">
        <v>1000</v>
      </c>
      <c r="G18" s="160">
        <v>999.93600000000004</v>
      </c>
      <c r="H18" s="160">
        <v>0</v>
      </c>
      <c r="I18" s="157"/>
      <c r="J18" s="149">
        <v>999.93600000000004</v>
      </c>
      <c r="K18" s="149">
        <v>50000</v>
      </c>
      <c r="L18" s="149">
        <v>1500</v>
      </c>
      <c r="M18" s="149" t="s">
        <v>586</v>
      </c>
      <c r="N18" s="162"/>
    </row>
    <row r="19" spans="2:14" ht="15.75" thickBot="1" x14ac:dyDescent="0.3">
      <c r="B19" s="148"/>
      <c r="C19" s="149">
        <v>25401007</v>
      </c>
      <c r="D19" s="149" t="s">
        <v>99</v>
      </c>
      <c r="E19" s="160">
        <v>500</v>
      </c>
      <c r="F19" s="160">
        <v>500</v>
      </c>
      <c r="G19" s="160">
        <v>0</v>
      </c>
      <c r="H19" s="160">
        <v>0</v>
      </c>
      <c r="I19" s="157"/>
      <c r="J19" s="149">
        <v>0</v>
      </c>
      <c r="K19" s="149">
        <v>5000</v>
      </c>
      <c r="L19" s="149">
        <v>500</v>
      </c>
      <c r="M19" s="149" t="s">
        <v>586</v>
      </c>
      <c r="N19" s="162"/>
    </row>
    <row r="20" spans="2:14" ht="15.75" thickBot="1" x14ac:dyDescent="0.3">
      <c r="B20" s="148"/>
      <c r="C20" s="149">
        <v>26201053</v>
      </c>
      <c r="D20" s="149" t="s">
        <v>591</v>
      </c>
      <c r="E20" s="160">
        <v>9500</v>
      </c>
      <c r="F20" s="160">
        <v>29500</v>
      </c>
      <c r="G20" s="160">
        <v>28992</v>
      </c>
      <c r="H20" s="160">
        <v>0</v>
      </c>
      <c r="I20" s="157"/>
      <c r="J20" s="149">
        <v>28992</v>
      </c>
      <c r="K20" s="149">
        <v>20000</v>
      </c>
      <c r="L20" s="149">
        <v>20000</v>
      </c>
      <c r="M20" s="149" t="s">
        <v>586</v>
      </c>
      <c r="N20" s="162"/>
    </row>
    <row r="21" spans="2:14" ht="15.75" thickBot="1" x14ac:dyDescent="0.3">
      <c r="B21" s="148"/>
      <c r="C21" s="149">
        <v>26302004</v>
      </c>
      <c r="D21" s="149" t="s">
        <v>6</v>
      </c>
      <c r="E21" s="160">
        <v>1000</v>
      </c>
      <c r="F21" s="160">
        <v>1000</v>
      </c>
      <c r="G21" s="160">
        <v>8</v>
      </c>
      <c r="H21" s="160">
        <v>0</v>
      </c>
      <c r="I21" s="157"/>
      <c r="J21" s="149">
        <v>8</v>
      </c>
      <c r="K21" s="149">
        <v>30000</v>
      </c>
      <c r="L21" s="149">
        <v>30000</v>
      </c>
      <c r="M21" s="149" t="s">
        <v>586</v>
      </c>
      <c r="N21" s="162"/>
    </row>
    <row r="22" spans="2:14" ht="15.75" thickBot="1" x14ac:dyDescent="0.3">
      <c r="B22" s="148"/>
      <c r="C22" s="149">
        <v>26402005</v>
      </c>
      <c r="D22" s="149" t="s">
        <v>306</v>
      </c>
      <c r="E22" s="160">
        <v>5000</v>
      </c>
      <c r="F22" s="160">
        <v>5000</v>
      </c>
      <c r="G22" s="160">
        <v>0</v>
      </c>
      <c r="H22" s="160">
        <v>0</v>
      </c>
      <c r="I22" s="157"/>
      <c r="J22" s="149">
        <v>0</v>
      </c>
      <c r="K22" s="149">
        <v>300000</v>
      </c>
      <c r="L22" s="149">
        <v>300000</v>
      </c>
      <c r="M22" s="149" t="s">
        <v>586</v>
      </c>
      <c r="N22" s="162"/>
    </row>
    <row r="23" spans="2:14" ht="15" thickBot="1" x14ac:dyDescent="0.25">
      <c r="B23" s="152"/>
      <c r="C23" s="37"/>
      <c r="D23" s="37"/>
      <c r="E23" s="159"/>
      <c r="F23" s="159"/>
      <c r="G23" s="159"/>
      <c r="H23" s="159"/>
      <c r="J23" s="37"/>
      <c r="K23" s="37"/>
      <c r="L23" s="37"/>
      <c r="M23" s="37"/>
      <c r="N23" s="163"/>
    </row>
    <row r="24" spans="2:14" ht="15.75" thickBot="1" x14ac:dyDescent="0.3">
      <c r="B24" s="148" t="s">
        <v>592</v>
      </c>
      <c r="C24" s="153">
        <v>1</v>
      </c>
      <c r="D24" s="153" t="s">
        <v>593</v>
      </c>
      <c r="E24" s="159">
        <v>0</v>
      </c>
      <c r="F24" s="159">
        <v>0</v>
      </c>
      <c r="G24" s="159">
        <v>0</v>
      </c>
      <c r="H24" s="159">
        <v>0</v>
      </c>
      <c r="I24" s="157"/>
      <c r="J24" s="153">
        <v>0</v>
      </c>
      <c r="K24" s="153">
        <v>500</v>
      </c>
      <c r="L24" s="153">
        <v>500</v>
      </c>
      <c r="M24" s="153" t="s">
        <v>586</v>
      </c>
      <c r="N24" s="164"/>
    </row>
    <row r="25" spans="2:14" ht="15.75" thickBot="1" x14ac:dyDescent="0.3">
      <c r="B25" s="148"/>
      <c r="C25" s="149">
        <v>20103001</v>
      </c>
      <c r="D25" s="149" t="s">
        <v>22</v>
      </c>
      <c r="E25" s="160">
        <v>30000</v>
      </c>
      <c r="F25" s="160">
        <v>30000</v>
      </c>
      <c r="G25" s="160">
        <v>25607.703000000001</v>
      </c>
      <c r="H25" s="160">
        <v>0</v>
      </c>
      <c r="I25" s="157"/>
      <c r="J25" s="149">
        <v>25607.703000000001</v>
      </c>
      <c r="K25" s="149">
        <v>0</v>
      </c>
      <c r="L25" s="149">
        <v>30000</v>
      </c>
      <c r="M25" s="149" t="s">
        <v>586</v>
      </c>
      <c r="N25" s="162"/>
    </row>
    <row r="26" spans="2:14" ht="15.75" thickBot="1" x14ac:dyDescent="0.3">
      <c r="B26" s="148"/>
      <c r="C26" s="149">
        <v>23603002</v>
      </c>
      <c r="D26" s="149" t="s">
        <v>63</v>
      </c>
      <c r="E26" s="160">
        <v>75</v>
      </c>
      <c r="F26" s="160">
        <v>75</v>
      </c>
      <c r="G26" s="160">
        <v>0</v>
      </c>
      <c r="H26" s="160">
        <v>0</v>
      </c>
      <c r="I26" s="157"/>
      <c r="J26" s="149">
        <v>0</v>
      </c>
      <c r="K26" s="149">
        <v>75</v>
      </c>
      <c r="L26" s="149">
        <v>75</v>
      </c>
      <c r="M26" s="149" t="s">
        <v>586</v>
      </c>
      <c r="N26" s="162"/>
    </row>
    <row r="27" spans="2:14" ht="15.75" thickBot="1" x14ac:dyDescent="0.3">
      <c r="B27" s="148"/>
      <c r="C27" s="149">
        <v>25301004</v>
      </c>
      <c r="D27" s="149" t="s">
        <v>594</v>
      </c>
      <c r="E27" s="160">
        <v>1000</v>
      </c>
      <c r="F27" s="160">
        <v>1000</v>
      </c>
      <c r="G27" s="160">
        <v>0</v>
      </c>
      <c r="H27" s="160">
        <v>0</v>
      </c>
      <c r="I27" s="157"/>
      <c r="J27" s="149">
        <v>0</v>
      </c>
      <c r="K27" s="149">
        <v>2000</v>
      </c>
      <c r="L27" s="149">
        <v>1000</v>
      </c>
      <c r="M27" s="149" t="s">
        <v>586</v>
      </c>
      <c r="N27" s="162"/>
    </row>
    <row r="28" spans="2:14" ht="15" thickBot="1" x14ac:dyDescent="0.25">
      <c r="B28" s="152"/>
      <c r="C28" s="37"/>
      <c r="D28" s="37"/>
      <c r="E28" s="159"/>
      <c r="F28" s="159"/>
      <c r="G28" s="159"/>
      <c r="H28" s="159"/>
      <c r="J28" s="37"/>
      <c r="K28" s="37"/>
      <c r="L28" s="37"/>
      <c r="M28" s="37"/>
      <c r="N28" s="163"/>
    </row>
    <row r="29" spans="2:14" ht="15.75" thickBot="1" x14ac:dyDescent="0.3">
      <c r="B29" s="148" t="s">
        <v>345</v>
      </c>
      <c r="C29" s="149">
        <v>20101001</v>
      </c>
      <c r="D29" s="149" t="s">
        <v>15</v>
      </c>
      <c r="E29" s="160">
        <v>1470000</v>
      </c>
      <c r="F29" s="160">
        <v>1395000</v>
      </c>
      <c r="G29" s="160">
        <v>1334968.6340000001</v>
      </c>
      <c r="H29" s="160">
        <v>0</v>
      </c>
      <c r="I29" s="157"/>
      <c r="J29" s="149">
        <v>1334968.6000000001</v>
      </c>
      <c r="K29" s="149">
        <v>0</v>
      </c>
      <c r="L29" s="149">
        <v>1500000</v>
      </c>
      <c r="M29" s="149" t="s">
        <v>586</v>
      </c>
      <c r="N29" s="162"/>
    </row>
    <row r="30" spans="2:14" ht="15.75" thickBot="1" x14ac:dyDescent="0.3">
      <c r="B30" s="148"/>
      <c r="C30" s="149">
        <v>20103001</v>
      </c>
      <c r="D30" s="149" t="s">
        <v>22</v>
      </c>
      <c r="E30" s="160">
        <v>280000</v>
      </c>
      <c r="F30" s="160">
        <v>287000</v>
      </c>
      <c r="G30" s="160">
        <v>271263.82900000003</v>
      </c>
      <c r="H30" s="160">
        <v>0</v>
      </c>
      <c r="I30" s="157"/>
      <c r="J30" s="149">
        <v>271263.84000000003</v>
      </c>
      <c r="K30" s="149">
        <v>0</v>
      </c>
      <c r="L30" s="149">
        <v>300000</v>
      </c>
      <c r="M30" s="149" t="s">
        <v>586</v>
      </c>
      <c r="N30" s="162"/>
    </row>
    <row r="31" spans="2:14" ht="15.75" thickBot="1" x14ac:dyDescent="0.3">
      <c r="B31" s="148"/>
      <c r="C31" s="149">
        <v>23603002</v>
      </c>
      <c r="D31" s="149" t="s">
        <v>63</v>
      </c>
      <c r="E31" s="160">
        <v>75</v>
      </c>
      <c r="F31" s="160">
        <v>75</v>
      </c>
      <c r="G31" s="160">
        <v>0</v>
      </c>
      <c r="H31" s="160">
        <v>0</v>
      </c>
      <c r="I31" s="157"/>
      <c r="J31" s="149">
        <v>0</v>
      </c>
      <c r="K31" s="149">
        <v>100</v>
      </c>
      <c r="L31" s="149">
        <v>75</v>
      </c>
      <c r="M31" s="149" t="s">
        <v>586</v>
      </c>
      <c r="N31" s="162"/>
    </row>
    <row r="32" spans="2:14" ht="27" thickBot="1" x14ac:dyDescent="0.3">
      <c r="B32" s="148"/>
      <c r="C32" s="149">
        <v>25601001</v>
      </c>
      <c r="D32" s="149" t="s">
        <v>595</v>
      </c>
      <c r="E32" s="160">
        <v>75000</v>
      </c>
      <c r="F32" s="160">
        <v>69000</v>
      </c>
      <c r="G32" s="160">
        <v>0</v>
      </c>
      <c r="H32" s="160">
        <v>25000</v>
      </c>
      <c r="I32" s="157"/>
      <c r="J32" s="149">
        <v>0</v>
      </c>
      <c r="K32" s="149">
        <v>100000</v>
      </c>
      <c r="L32" s="149">
        <v>100000</v>
      </c>
      <c r="M32" s="149" t="s">
        <v>586</v>
      </c>
      <c r="N32" s="162"/>
    </row>
    <row r="33" spans="2:14" ht="15.75" thickBot="1" x14ac:dyDescent="0.3">
      <c r="B33" s="148"/>
      <c r="C33" s="149">
        <v>25602001</v>
      </c>
      <c r="D33" s="149" t="s">
        <v>596</v>
      </c>
      <c r="E33" s="160">
        <v>75000</v>
      </c>
      <c r="F33" s="160">
        <v>75000</v>
      </c>
      <c r="G33" s="160">
        <v>1000</v>
      </c>
      <c r="H33" s="160">
        <v>500</v>
      </c>
      <c r="I33" s="157"/>
      <c r="J33" s="149">
        <v>1000</v>
      </c>
      <c r="K33" s="149">
        <v>100000</v>
      </c>
      <c r="L33" s="149">
        <v>100000</v>
      </c>
      <c r="M33" s="149" t="s">
        <v>586</v>
      </c>
      <c r="N33" s="162"/>
    </row>
    <row r="34" spans="2:14" ht="15.75" thickBot="1" x14ac:dyDescent="0.3">
      <c r="B34" s="148"/>
      <c r="C34" s="149">
        <v>25603001</v>
      </c>
      <c r="D34" s="149" t="s">
        <v>449</v>
      </c>
      <c r="E34" s="160">
        <v>30000</v>
      </c>
      <c r="F34" s="160">
        <v>30000</v>
      </c>
      <c r="G34" s="160">
        <v>0</v>
      </c>
      <c r="H34" s="160">
        <v>0</v>
      </c>
      <c r="I34" s="157"/>
      <c r="J34" s="149">
        <v>0</v>
      </c>
      <c r="K34" s="149">
        <v>25000</v>
      </c>
      <c r="L34" s="149">
        <v>25000</v>
      </c>
      <c r="M34" s="149" t="s">
        <v>586</v>
      </c>
      <c r="N34" s="162"/>
    </row>
    <row r="35" spans="2:14" ht="15" thickBot="1" x14ac:dyDescent="0.25">
      <c r="B35" s="152"/>
      <c r="C35" s="37"/>
      <c r="D35" s="37"/>
      <c r="E35" s="159"/>
      <c r="F35" s="159"/>
      <c r="G35" s="159"/>
      <c r="H35" s="159"/>
      <c r="J35" s="37"/>
      <c r="K35" s="37"/>
      <c r="L35" s="37"/>
      <c r="M35" s="37"/>
      <c r="N35" s="163"/>
    </row>
    <row r="36" spans="2:14" ht="15.75" thickBot="1" x14ac:dyDescent="0.3">
      <c r="B36" s="148" t="s">
        <v>488</v>
      </c>
      <c r="C36" s="149">
        <v>20101001</v>
      </c>
      <c r="D36" s="149" t="s">
        <v>15</v>
      </c>
      <c r="E36" s="160">
        <v>865000</v>
      </c>
      <c r="F36" s="160">
        <v>1065000</v>
      </c>
      <c r="G36" s="160">
        <v>994498.20200000005</v>
      </c>
      <c r="H36" s="160">
        <v>0</v>
      </c>
      <c r="I36" s="157"/>
      <c r="J36" s="149">
        <v>994498.25</v>
      </c>
      <c r="K36" s="149">
        <v>0</v>
      </c>
      <c r="L36" s="149">
        <v>1100000</v>
      </c>
      <c r="M36" s="149" t="s">
        <v>586</v>
      </c>
      <c r="N36" s="162"/>
    </row>
    <row r="37" spans="2:14" ht="15.75" thickBot="1" x14ac:dyDescent="0.3">
      <c r="B37" s="148"/>
      <c r="C37" s="149">
        <v>20103001</v>
      </c>
      <c r="D37" s="149" t="s">
        <v>22</v>
      </c>
      <c r="E37" s="160">
        <v>102000</v>
      </c>
      <c r="F37" s="160">
        <v>102000</v>
      </c>
      <c r="G37" s="160">
        <v>96053.33</v>
      </c>
      <c r="H37" s="160">
        <v>0</v>
      </c>
      <c r="I37" s="157"/>
      <c r="J37" s="149">
        <v>96053.33</v>
      </c>
      <c r="K37" s="149">
        <v>0</v>
      </c>
      <c r="L37" s="149">
        <v>110000</v>
      </c>
      <c r="M37" s="149" t="s">
        <v>586</v>
      </c>
      <c r="N37" s="162"/>
    </row>
    <row r="38" spans="2:14" ht="15.75" thickBot="1" x14ac:dyDescent="0.3">
      <c r="B38" s="148"/>
      <c r="C38" s="149">
        <v>23603002</v>
      </c>
      <c r="D38" s="149" t="s">
        <v>63</v>
      </c>
      <c r="E38" s="160">
        <v>75</v>
      </c>
      <c r="F38" s="160">
        <v>75</v>
      </c>
      <c r="G38" s="160">
        <v>75</v>
      </c>
      <c r="H38" s="160">
        <v>0</v>
      </c>
      <c r="I38" s="157"/>
      <c r="J38" s="149">
        <v>75</v>
      </c>
      <c r="K38" s="149">
        <v>0</v>
      </c>
      <c r="L38" s="149">
        <v>75</v>
      </c>
      <c r="M38" s="149" t="s">
        <v>586</v>
      </c>
      <c r="N38" s="162"/>
    </row>
    <row r="39" spans="2:14" ht="27" thickBot="1" x14ac:dyDescent="0.3">
      <c r="B39" s="148"/>
      <c r="C39" s="149">
        <v>25601001</v>
      </c>
      <c r="D39" s="149" t="s">
        <v>595</v>
      </c>
      <c r="E39" s="160">
        <v>5000</v>
      </c>
      <c r="F39" s="160">
        <v>5000</v>
      </c>
      <c r="G39" s="160">
        <v>0</v>
      </c>
      <c r="H39" s="160">
        <v>0</v>
      </c>
      <c r="I39" s="157"/>
      <c r="J39" s="149">
        <v>0</v>
      </c>
      <c r="K39" s="149">
        <v>0</v>
      </c>
      <c r="L39" s="149">
        <v>5000</v>
      </c>
      <c r="M39" s="149" t="s">
        <v>586</v>
      </c>
      <c r="N39" s="162"/>
    </row>
    <row r="40" spans="2:14" ht="15" thickBot="1" x14ac:dyDescent="0.25">
      <c r="B40" s="152"/>
      <c r="C40" s="37"/>
      <c r="D40" s="37"/>
      <c r="E40" s="159"/>
      <c r="F40" s="159"/>
      <c r="G40" s="159"/>
      <c r="H40" s="159"/>
      <c r="J40" s="37"/>
      <c r="K40" s="37"/>
      <c r="L40" s="37"/>
      <c r="M40" s="37"/>
      <c r="N40" s="163"/>
    </row>
    <row r="41" spans="2:14" ht="15.75" thickBot="1" x14ac:dyDescent="0.3">
      <c r="B41" s="148" t="s">
        <v>340</v>
      </c>
      <c r="C41" s="149">
        <v>20101001</v>
      </c>
      <c r="D41" s="149" t="s">
        <v>15</v>
      </c>
      <c r="E41" s="160">
        <v>680000</v>
      </c>
      <c r="F41" s="160">
        <v>599000</v>
      </c>
      <c r="G41" s="160">
        <v>530323.54399999999</v>
      </c>
      <c r="H41" s="160">
        <v>0</v>
      </c>
      <c r="I41" s="157"/>
      <c r="J41" s="149">
        <v>530323.56000000006</v>
      </c>
      <c r="K41" s="149">
        <v>0</v>
      </c>
      <c r="L41" s="149">
        <v>680000</v>
      </c>
      <c r="M41" s="149" t="s">
        <v>586</v>
      </c>
      <c r="N41" s="162"/>
    </row>
    <row r="42" spans="2:14" ht="15.75" thickBot="1" x14ac:dyDescent="0.3">
      <c r="B42" s="148"/>
      <c r="C42" s="149">
        <v>20103001</v>
      </c>
      <c r="D42" s="149" t="s">
        <v>22</v>
      </c>
      <c r="E42" s="160">
        <v>80000</v>
      </c>
      <c r="F42" s="160">
        <v>80000</v>
      </c>
      <c r="G42" s="160">
        <v>71256.731</v>
      </c>
      <c r="H42" s="160">
        <v>0</v>
      </c>
      <c r="I42" s="157"/>
      <c r="J42" s="149">
        <v>71256.73</v>
      </c>
      <c r="K42" s="149">
        <v>0</v>
      </c>
      <c r="L42" s="149">
        <v>80000</v>
      </c>
      <c r="M42" s="149" t="s">
        <v>586</v>
      </c>
      <c r="N42" s="162"/>
    </row>
    <row r="43" spans="2:14" ht="15.75" thickBot="1" x14ac:dyDescent="0.3">
      <c r="B43" s="148"/>
      <c r="C43" s="149">
        <v>22601001</v>
      </c>
      <c r="D43" s="149" t="s">
        <v>243</v>
      </c>
      <c r="E43" s="160">
        <v>10000</v>
      </c>
      <c r="F43" s="160">
        <v>10000</v>
      </c>
      <c r="G43" s="160">
        <v>0</v>
      </c>
      <c r="H43" s="160">
        <v>0</v>
      </c>
      <c r="I43" s="157"/>
      <c r="J43" s="149">
        <v>0</v>
      </c>
      <c r="K43" s="149">
        <v>10000</v>
      </c>
      <c r="L43" s="149">
        <v>10000</v>
      </c>
      <c r="M43" s="149" t="s">
        <v>586</v>
      </c>
      <c r="N43" s="162"/>
    </row>
    <row r="44" spans="2:14" ht="15.75" thickBot="1" x14ac:dyDescent="0.3">
      <c r="B44" s="148"/>
      <c r="C44" s="149">
        <v>23603002</v>
      </c>
      <c r="D44" s="149" t="s">
        <v>63</v>
      </c>
      <c r="E44" s="160">
        <v>75</v>
      </c>
      <c r="F44" s="160">
        <v>75</v>
      </c>
      <c r="G44" s="160">
        <v>0</v>
      </c>
      <c r="H44" s="160">
        <v>0</v>
      </c>
      <c r="I44" s="157"/>
      <c r="J44" s="149">
        <v>0</v>
      </c>
      <c r="K44" s="149">
        <v>75</v>
      </c>
      <c r="L44" s="149">
        <v>75</v>
      </c>
      <c r="M44" s="149" t="s">
        <v>586</v>
      </c>
      <c r="N44" s="162"/>
    </row>
    <row r="45" spans="2:14" ht="15" thickBot="1" x14ac:dyDescent="0.25">
      <c r="B45" s="152"/>
      <c r="C45" s="37"/>
      <c r="D45" s="37"/>
      <c r="E45" s="159"/>
      <c r="F45" s="159"/>
      <c r="G45" s="159"/>
      <c r="H45" s="159"/>
      <c r="J45" s="37"/>
      <c r="K45" s="37"/>
      <c r="L45" s="37"/>
      <c r="M45" s="37"/>
      <c r="N45" s="163"/>
    </row>
    <row r="46" spans="2:14" ht="30.75" thickBot="1" x14ac:dyDescent="0.3">
      <c r="B46" s="148" t="s">
        <v>597</v>
      </c>
      <c r="C46" s="149">
        <v>20101001</v>
      </c>
      <c r="D46" s="149" t="s">
        <v>15</v>
      </c>
      <c r="E46" s="160">
        <v>490000</v>
      </c>
      <c r="F46" s="160">
        <v>475000</v>
      </c>
      <c r="G46" s="160">
        <v>456232.42</v>
      </c>
      <c r="H46" s="160">
        <v>0</v>
      </c>
      <c r="I46" s="157"/>
      <c r="J46" s="149">
        <v>456232.38</v>
      </c>
      <c r="K46" s="149">
        <v>0</v>
      </c>
      <c r="L46" s="149">
        <v>500000</v>
      </c>
      <c r="M46" s="149" t="s">
        <v>586</v>
      </c>
      <c r="N46" s="162"/>
    </row>
    <row r="47" spans="2:14" ht="15.75" thickBot="1" x14ac:dyDescent="0.3">
      <c r="B47" s="148"/>
      <c r="C47" s="149">
        <v>20103001</v>
      </c>
      <c r="D47" s="149" t="s">
        <v>22</v>
      </c>
      <c r="E47" s="160">
        <v>218000</v>
      </c>
      <c r="F47" s="160">
        <v>218000</v>
      </c>
      <c r="G47" s="160">
        <v>190643.34899999999</v>
      </c>
      <c r="H47" s="160">
        <v>0</v>
      </c>
      <c r="I47" s="157"/>
      <c r="J47" s="149">
        <v>190643.34</v>
      </c>
      <c r="K47" s="149">
        <v>0</v>
      </c>
      <c r="L47" s="149">
        <v>220000</v>
      </c>
      <c r="M47" s="149" t="s">
        <v>586</v>
      </c>
      <c r="N47" s="162"/>
    </row>
    <row r="48" spans="2:14" ht="15.75" thickBot="1" x14ac:dyDescent="0.3">
      <c r="B48" s="148"/>
      <c r="C48" s="149">
        <v>22601001</v>
      </c>
      <c r="D48" s="149" t="s">
        <v>243</v>
      </c>
      <c r="E48" s="160">
        <v>1000</v>
      </c>
      <c r="F48" s="160">
        <v>1000</v>
      </c>
      <c r="G48" s="160">
        <v>0</v>
      </c>
      <c r="H48" s="160">
        <v>0</v>
      </c>
      <c r="I48" s="157"/>
      <c r="J48" s="149">
        <v>0</v>
      </c>
      <c r="K48" s="149">
        <v>1000</v>
      </c>
      <c r="L48" s="149">
        <v>1000</v>
      </c>
      <c r="M48" s="149" t="s">
        <v>586</v>
      </c>
      <c r="N48" s="162"/>
    </row>
    <row r="49" spans="2:14" ht="15.75" thickBot="1" x14ac:dyDescent="0.3">
      <c r="B49" s="148"/>
      <c r="C49" s="149">
        <v>23603002</v>
      </c>
      <c r="D49" s="149" t="s">
        <v>63</v>
      </c>
      <c r="E49" s="160">
        <v>75</v>
      </c>
      <c r="F49" s="160">
        <v>75</v>
      </c>
      <c r="G49" s="160">
        <v>0</v>
      </c>
      <c r="H49" s="160">
        <v>0</v>
      </c>
      <c r="I49" s="157"/>
      <c r="J49" s="149">
        <v>0</v>
      </c>
      <c r="K49" s="149">
        <v>75</v>
      </c>
      <c r="L49" s="149">
        <v>75</v>
      </c>
      <c r="M49" s="149" t="s">
        <v>586</v>
      </c>
      <c r="N49" s="162"/>
    </row>
    <row r="50" spans="2:14" ht="27" thickBot="1" x14ac:dyDescent="0.3">
      <c r="B50" s="148"/>
      <c r="C50" s="149">
        <v>25601001</v>
      </c>
      <c r="D50" s="149" t="s">
        <v>595</v>
      </c>
      <c r="E50" s="160">
        <v>10000</v>
      </c>
      <c r="F50" s="160">
        <v>10000</v>
      </c>
      <c r="G50" s="160">
        <v>0</v>
      </c>
      <c r="H50" s="160">
        <v>0</v>
      </c>
      <c r="I50" s="157"/>
      <c r="J50" s="149">
        <v>0</v>
      </c>
      <c r="K50" s="149">
        <v>10000</v>
      </c>
      <c r="L50" s="149">
        <v>10000</v>
      </c>
      <c r="M50" s="149" t="s">
        <v>586</v>
      </c>
      <c r="N50" s="162"/>
    </row>
    <row r="51" spans="2:14" ht="15.75" thickBot="1" x14ac:dyDescent="0.3">
      <c r="B51" s="148"/>
      <c r="C51" s="149">
        <v>25602001</v>
      </c>
      <c r="D51" s="149" t="s">
        <v>596</v>
      </c>
      <c r="E51" s="160">
        <v>5000</v>
      </c>
      <c r="F51" s="160">
        <v>5000</v>
      </c>
      <c r="G51" s="160">
        <v>0</v>
      </c>
      <c r="H51" s="160">
        <v>950</v>
      </c>
      <c r="I51" s="157"/>
      <c r="J51" s="149">
        <v>0</v>
      </c>
      <c r="K51" s="149">
        <v>5000</v>
      </c>
      <c r="L51" s="149">
        <v>5000</v>
      </c>
      <c r="M51" s="149" t="s">
        <v>586</v>
      </c>
      <c r="N51" s="162"/>
    </row>
    <row r="52" spans="2:14" ht="15.75" thickBot="1" x14ac:dyDescent="0.3">
      <c r="B52" s="148"/>
      <c r="C52" s="149">
        <v>26301019</v>
      </c>
      <c r="D52" s="149" t="s">
        <v>471</v>
      </c>
      <c r="E52" s="160">
        <v>20000</v>
      </c>
      <c r="F52" s="160">
        <v>0</v>
      </c>
      <c r="G52" s="160">
        <v>0</v>
      </c>
      <c r="H52" s="160">
        <v>0</v>
      </c>
      <c r="I52" s="157"/>
      <c r="J52" s="149">
        <v>0</v>
      </c>
      <c r="K52" s="149">
        <v>20000</v>
      </c>
      <c r="L52" s="149">
        <v>0</v>
      </c>
      <c r="M52" s="149" t="s">
        <v>586</v>
      </c>
      <c r="N52" s="162"/>
    </row>
    <row r="53" spans="2:14" ht="15" thickBot="1" x14ac:dyDescent="0.25">
      <c r="B53" s="152"/>
      <c r="C53" s="37"/>
      <c r="D53" s="37"/>
      <c r="E53" s="159"/>
      <c r="F53" s="159"/>
      <c r="G53" s="159"/>
      <c r="H53" s="159"/>
      <c r="J53" s="37"/>
      <c r="K53" s="37"/>
      <c r="L53" s="37"/>
      <c r="M53" s="37"/>
      <c r="N53" s="163"/>
    </row>
    <row r="54" spans="2:14" ht="30.75" thickBot="1" x14ac:dyDescent="0.3">
      <c r="B54" s="148" t="s">
        <v>598</v>
      </c>
      <c r="C54" s="149">
        <v>20101001</v>
      </c>
      <c r="D54" s="149" t="s">
        <v>15</v>
      </c>
      <c r="E54" s="160">
        <v>635000</v>
      </c>
      <c r="F54" s="160">
        <v>675000</v>
      </c>
      <c r="G54" s="160">
        <v>655287.76500000001</v>
      </c>
      <c r="H54" s="160">
        <v>0</v>
      </c>
      <c r="I54" s="157"/>
      <c r="J54" s="149">
        <v>655287.75</v>
      </c>
      <c r="K54" s="149">
        <v>0</v>
      </c>
      <c r="L54" s="149">
        <v>700000</v>
      </c>
      <c r="M54" s="149" t="s">
        <v>586</v>
      </c>
      <c r="N54" s="162"/>
    </row>
    <row r="55" spans="2:14" ht="15.75" thickBot="1" x14ac:dyDescent="0.3">
      <c r="B55" s="148"/>
      <c r="C55" s="149">
        <v>20103001</v>
      </c>
      <c r="D55" s="149" t="s">
        <v>22</v>
      </c>
      <c r="E55" s="160">
        <v>245000</v>
      </c>
      <c r="F55" s="160">
        <v>245000</v>
      </c>
      <c r="G55" s="160">
        <v>221315.61499999999</v>
      </c>
      <c r="H55" s="160">
        <v>0</v>
      </c>
      <c r="I55" s="157"/>
      <c r="J55" s="149">
        <v>221315.61</v>
      </c>
      <c r="K55" s="149">
        <v>0</v>
      </c>
      <c r="L55" s="149">
        <v>250000</v>
      </c>
      <c r="M55" s="149" t="s">
        <v>586</v>
      </c>
      <c r="N55" s="162"/>
    </row>
    <row r="56" spans="2:14" ht="15.75" thickBot="1" x14ac:dyDescent="0.3">
      <c r="B56" s="148"/>
      <c r="C56" s="149">
        <v>22601001</v>
      </c>
      <c r="D56" s="149" t="s">
        <v>243</v>
      </c>
      <c r="E56" s="160">
        <v>2000</v>
      </c>
      <c r="F56" s="160">
        <v>2000</v>
      </c>
      <c r="G56" s="160">
        <v>0</v>
      </c>
      <c r="H56" s="160">
        <v>0</v>
      </c>
      <c r="I56" s="157"/>
      <c r="J56" s="149">
        <v>0</v>
      </c>
      <c r="K56" s="149">
        <v>2000</v>
      </c>
      <c r="L56" s="149">
        <v>2000</v>
      </c>
      <c r="M56" s="149" t="s">
        <v>586</v>
      </c>
      <c r="N56" s="162"/>
    </row>
    <row r="57" spans="2:14" ht="15.75" thickBot="1" x14ac:dyDescent="0.3">
      <c r="B57" s="148"/>
      <c r="C57" s="149">
        <v>23603002</v>
      </c>
      <c r="D57" s="149" t="s">
        <v>63</v>
      </c>
      <c r="E57" s="160">
        <v>75</v>
      </c>
      <c r="F57" s="160">
        <v>75</v>
      </c>
      <c r="G57" s="160">
        <v>0</v>
      </c>
      <c r="H57" s="160">
        <v>0</v>
      </c>
      <c r="I57" s="157"/>
      <c r="J57" s="149">
        <v>0</v>
      </c>
      <c r="K57" s="149">
        <v>75</v>
      </c>
      <c r="L57" s="149">
        <v>75</v>
      </c>
      <c r="M57" s="149" t="s">
        <v>586</v>
      </c>
      <c r="N57" s="162"/>
    </row>
    <row r="58" spans="2:14" ht="27" thickBot="1" x14ac:dyDescent="0.3">
      <c r="B58" s="148"/>
      <c r="C58" s="149">
        <v>25601001</v>
      </c>
      <c r="D58" s="149" t="s">
        <v>595</v>
      </c>
      <c r="E58" s="160">
        <v>5000</v>
      </c>
      <c r="F58" s="160">
        <v>31000</v>
      </c>
      <c r="G58" s="160">
        <v>4486.6549999999997</v>
      </c>
      <c r="H58" s="160">
        <v>12513.344999999999</v>
      </c>
      <c r="I58" s="157"/>
      <c r="J58" s="149">
        <v>4486.6549999999997</v>
      </c>
      <c r="K58" s="149">
        <v>32000</v>
      </c>
      <c r="L58" s="149">
        <v>32000</v>
      </c>
      <c r="M58" s="149" t="s">
        <v>586</v>
      </c>
      <c r="N58" s="162"/>
    </row>
    <row r="59" spans="2:14" ht="15.75" thickBot="1" x14ac:dyDescent="0.3">
      <c r="B59" s="148"/>
      <c r="C59" s="149">
        <v>25602001</v>
      </c>
      <c r="D59" s="149" t="s">
        <v>596</v>
      </c>
      <c r="E59" s="160">
        <v>1000</v>
      </c>
      <c r="F59" s="160">
        <v>1000</v>
      </c>
      <c r="G59" s="160">
        <v>0</v>
      </c>
      <c r="H59" s="160">
        <v>0</v>
      </c>
      <c r="I59" s="157"/>
      <c r="J59" s="149">
        <v>0</v>
      </c>
      <c r="K59" s="149">
        <v>2000</v>
      </c>
      <c r="L59" s="149">
        <v>2000</v>
      </c>
      <c r="M59" s="149" t="s">
        <v>586</v>
      </c>
      <c r="N59" s="162"/>
    </row>
    <row r="60" spans="2:14" ht="15" thickBot="1" x14ac:dyDescent="0.25">
      <c r="B60" s="152"/>
      <c r="C60" s="37"/>
      <c r="D60" s="37"/>
      <c r="E60" s="159"/>
      <c r="F60" s="159"/>
      <c r="G60" s="159"/>
      <c r="H60" s="159"/>
      <c r="J60" s="37"/>
      <c r="K60" s="37"/>
      <c r="L60" s="37"/>
      <c r="M60" s="37"/>
      <c r="N60" s="163"/>
    </row>
    <row r="61" spans="2:14" ht="15.75" thickBot="1" x14ac:dyDescent="0.3">
      <c r="B61" s="148" t="s">
        <v>599</v>
      </c>
      <c r="C61" s="149">
        <v>20101001</v>
      </c>
      <c r="D61" s="149" t="s">
        <v>15</v>
      </c>
      <c r="E61" s="160">
        <v>1170000</v>
      </c>
      <c r="F61" s="160">
        <v>1130000</v>
      </c>
      <c r="G61" s="160">
        <v>1055298.3470000001</v>
      </c>
      <c r="H61" s="160">
        <v>0</v>
      </c>
      <c r="I61" s="157"/>
      <c r="J61" s="149">
        <v>1055298.3999999999</v>
      </c>
      <c r="K61" s="149">
        <v>0</v>
      </c>
      <c r="L61" s="149">
        <v>1200000</v>
      </c>
      <c r="M61" s="149" t="s">
        <v>586</v>
      </c>
      <c r="N61" s="162"/>
    </row>
    <row r="62" spans="2:14" ht="15.75" thickBot="1" x14ac:dyDescent="0.3">
      <c r="B62" s="148"/>
      <c r="C62" s="149">
        <v>20103001</v>
      </c>
      <c r="D62" s="149" t="s">
        <v>22</v>
      </c>
      <c r="E62" s="160">
        <v>85000</v>
      </c>
      <c r="F62" s="160">
        <v>115000</v>
      </c>
      <c r="G62" s="160">
        <v>107601.716</v>
      </c>
      <c r="H62" s="160">
        <v>0</v>
      </c>
      <c r="I62" s="157"/>
      <c r="J62" s="149">
        <v>107601.72</v>
      </c>
      <c r="K62" s="149">
        <v>0</v>
      </c>
      <c r="L62" s="149">
        <v>120000</v>
      </c>
      <c r="M62" s="149" t="s">
        <v>586</v>
      </c>
      <c r="N62" s="162"/>
    </row>
    <row r="63" spans="2:14" ht="15.75" thickBot="1" x14ac:dyDescent="0.3">
      <c r="B63" s="148"/>
      <c r="C63" s="149">
        <v>23603002</v>
      </c>
      <c r="D63" s="149" t="s">
        <v>63</v>
      </c>
      <c r="E63" s="160">
        <v>75</v>
      </c>
      <c r="F63" s="160">
        <v>75</v>
      </c>
      <c r="G63" s="160">
        <v>0</v>
      </c>
      <c r="H63" s="160">
        <v>0</v>
      </c>
      <c r="I63" s="157"/>
      <c r="J63" s="149">
        <v>0</v>
      </c>
      <c r="K63" s="149">
        <v>75</v>
      </c>
      <c r="L63" s="149">
        <v>75</v>
      </c>
      <c r="M63" s="149" t="s">
        <v>586</v>
      </c>
      <c r="N63" s="162"/>
    </row>
    <row r="64" spans="2:14" ht="15.75" thickBot="1" x14ac:dyDescent="0.3">
      <c r="B64" s="148"/>
      <c r="C64" s="149">
        <v>26302007</v>
      </c>
      <c r="D64" s="149" t="s">
        <v>293</v>
      </c>
      <c r="E64" s="160">
        <v>10000</v>
      </c>
      <c r="F64" s="160">
        <v>10000</v>
      </c>
      <c r="G64" s="160">
        <v>1000</v>
      </c>
      <c r="H64" s="160">
        <v>0</v>
      </c>
      <c r="I64" s="157"/>
      <c r="J64" s="149">
        <v>1000</v>
      </c>
      <c r="K64" s="149">
        <v>5000</v>
      </c>
      <c r="L64" s="149">
        <v>5000</v>
      </c>
      <c r="M64" s="149" t="s">
        <v>586</v>
      </c>
      <c r="N64" s="162"/>
    </row>
    <row r="65" spans="2:14" ht="15" thickBot="1" x14ac:dyDescent="0.25">
      <c r="B65" s="152"/>
      <c r="C65" s="37"/>
      <c r="D65" s="37"/>
      <c r="E65" s="159"/>
      <c r="F65" s="159"/>
      <c r="G65" s="159"/>
      <c r="H65" s="159"/>
      <c r="J65" s="37"/>
      <c r="K65" s="37"/>
      <c r="L65" s="37"/>
      <c r="M65" s="37"/>
      <c r="N65" s="163"/>
    </row>
    <row r="66" spans="2:14" ht="15.75" thickBot="1" x14ac:dyDescent="0.3">
      <c r="B66" s="148" t="s">
        <v>600</v>
      </c>
      <c r="C66" s="149">
        <v>20101001</v>
      </c>
      <c r="D66" s="149" t="s">
        <v>15</v>
      </c>
      <c r="E66" s="160">
        <v>950000</v>
      </c>
      <c r="F66" s="160">
        <v>913000</v>
      </c>
      <c r="G66" s="160">
        <v>875994.04799999995</v>
      </c>
      <c r="H66" s="160">
        <v>0</v>
      </c>
      <c r="I66" s="157"/>
      <c r="J66" s="149">
        <v>875994</v>
      </c>
      <c r="K66" s="149">
        <v>0</v>
      </c>
      <c r="L66" s="149">
        <v>950000</v>
      </c>
      <c r="M66" s="149" t="s">
        <v>586</v>
      </c>
      <c r="N66" s="162"/>
    </row>
    <row r="67" spans="2:14" ht="15.75" thickBot="1" x14ac:dyDescent="0.3">
      <c r="B67" s="148"/>
      <c r="C67" s="149">
        <v>20103001</v>
      </c>
      <c r="D67" s="149" t="s">
        <v>22</v>
      </c>
      <c r="E67" s="160">
        <v>118000</v>
      </c>
      <c r="F67" s="160">
        <v>129500</v>
      </c>
      <c r="G67" s="160">
        <v>122908.576</v>
      </c>
      <c r="H67" s="160">
        <v>0</v>
      </c>
      <c r="I67" s="157"/>
      <c r="J67" s="149">
        <v>122908.58</v>
      </c>
      <c r="K67" s="149">
        <v>0</v>
      </c>
      <c r="L67" s="149">
        <v>130000</v>
      </c>
      <c r="M67" s="149" t="s">
        <v>586</v>
      </c>
      <c r="N67" s="162"/>
    </row>
    <row r="68" spans="2:14" ht="15.75" thickBot="1" x14ac:dyDescent="0.3">
      <c r="B68" s="148"/>
      <c r="C68" s="149">
        <v>23603002</v>
      </c>
      <c r="D68" s="149" t="s">
        <v>63</v>
      </c>
      <c r="E68" s="160">
        <v>75</v>
      </c>
      <c r="F68" s="160">
        <v>75</v>
      </c>
      <c r="G68" s="160">
        <v>75</v>
      </c>
      <c r="H68" s="160">
        <v>0</v>
      </c>
      <c r="I68" s="157"/>
      <c r="J68" s="149">
        <v>75</v>
      </c>
      <c r="K68" s="149">
        <v>0</v>
      </c>
      <c r="L68" s="149">
        <v>75</v>
      </c>
      <c r="M68" s="149" t="s">
        <v>586</v>
      </c>
      <c r="N68" s="162"/>
    </row>
    <row r="69" spans="2:14" ht="15" thickBot="1" x14ac:dyDescent="0.25">
      <c r="B69" s="152"/>
      <c r="C69" s="37"/>
      <c r="D69" s="37"/>
      <c r="E69" s="159"/>
      <c r="F69" s="159"/>
      <c r="G69" s="159"/>
      <c r="H69" s="159"/>
      <c r="J69" s="37"/>
      <c r="K69" s="37"/>
      <c r="L69" s="37"/>
      <c r="M69" s="37"/>
      <c r="N69" s="163"/>
    </row>
    <row r="70" spans="2:14" ht="27" thickBot="1" x14ac:dyDescent="0.3">
      <c r="B70" s="148" t="s">
        <v>346</v>
      </c>
      <c r="C70" s="153">
        <v>1</v>
      </c>
      <c r="D70" s="153" t="s">
        <v>601</v>
      </c>
      <c r="E70" s="159">
        <v>0</v>
      </c>
      <c r="F70" s="159">
        <v>0</v>
      </c>
      <c r="G70" s="159">
        <v>0</v>
      </c>
      <c r="H70" s="159">
        <v>0</v>
      </c>
      <c r="I70" s="157"/>
      <c r="J70" s="153">
        <v>0</v>
      </c>
      <c r="K70" s="153">
        <v>500</v>
      </c>
      <c r="L70" s="153">
        <v>500</v>
      </c>
      <c r="M70" s="153" t="s">
        <v>586</v>
      </c>
      <c r="N70" s="164"/>
    </row>
    <row r="71" spans="2:14" ht="15.75" thickBot="1" x14ac:dyDescent="0.3">
      <c r="B71" s="148"/>
      <c r="C71" s="149">
        <v>20101001</v>
      </c>
      <c r="D71" s="149" t="s">
        <v>15</v>
      </c>
      <c r="E71" s="160">
        <v>315000</v>
      </c>
      <c r="F71" s="160">
        <v>321000</v>
      </c>
      <c r="G71" s="160">
        <v>311561.33299999998</v>
      </c>
      <c r="H71" s="160">
        <v>0</v>
      </c>
      <c r="I71" s="157"/>
      <c r="J71" s="149">
        <v>311561.34000000003</v>
      </c>
      <c r="K71" s="149">
        <v>0</v>
      </c>
      <c r="L71" s="149">
        <v>400000</v>
      </c>
      <c r="M71" s="149" t="s">
        <v>586</v>
      </c>
      <c r="N71" s="162"/>
    </row>
    <row r="72" spans="2:14" ht="15.75" thickBot="1" x14ac:dyDescent="0.3">
      <c r="B72" s="148"/>
      <c r="C72" s="149">
        <v>20103001</v>
      </c>
      <c r="D72" s="149" t="s">
        <v>22</v>
      </c>
      <c r="E72" s="160">
        <v>52000</v>
      </c>
      <c r="F72" s="160">
        <v>52000</v>
      </c>
      <c r="G72" s="160">
        <v>37342.620000000003</v>
      </c>
      <c r="H72" s="160">
        <v>0</v>
      </c>
      <c r="I72" s="157"/>
      <c r="J72" s="149">
        <v>37342.620000000003</v>
      </c>
      <c r="K72" s="149">
        <v>0</v>
      </c>
      <c r="L72" s="149">
        <v>50000</v>
      </c>
      <c r="M72" s="149" t="s">
        <v>586</v>
      </c>
      <c r="N72" s="162"/>
    </row>
    <row r="73" spans="2:14" ht="15.75" thickBot="1" x14ac:dyDescent="0.3">
      <c r="B73" s="148"/>
      <c r="C73" s="149">
        <v>23603002</v>
      </c>
      <c r="D73" s="149" t="s">
        <v>63</v>
      </c>
      <c r="E73" s="160">
        <v>75</v>
      </c>
      <c r="F73" s="160">
        <v>75</v>
      </c>
      <c r="G73" s="160">
        <v>0</v>
      </c>
      <c r="H73" s="160">
        <v>0</v>
      </c>
      <c r="I73" s="157"/>
      <c r="J73" s="149">
        <v>0</v>
      </c>
      <c r="K73" s="149">
        <v>0</v>
      </c>
      <c r="L73" s="149">
        <v>75</v>
      </c>
      <c r="M73" s="149" t="s">
        <v>586</v>
      </c>
      <c r="N73" s="162"/>
    </row>
    <row r="74" spans="2:14" ht="15" thickBot="1" x14ac:dyDescent="0.25">
      <c r="B74" s="152"/>
      <c r="C74" s="37"/>
      <c r="D74" s="37"/>
      <c r="E74" s="159"/>
      <c r="F74" s="159"/>
      <c r="G74" s="159"/>
      <c r="H74" s="159"/>
      <c r="J74" s="37"/>
      <c r="K74" s="37"/>
      <c r="L74" s="37"/>
      <c r="M74" s="37"/>
      <c r="N74" s="163"/>
    </row>
    <row r="75" spans="2:14" ht="15.75" thickBot="1" x14ac:dyDescent="0.3">
      <c r="B75" s="148" t="s">
        <v>348</v>
      </c>
      <c r="C75" s="149">
        <v>20101001</v>
      </c>
      <c r="D75" s="149" t="s">
        <v>15</v>
      </c>
      <c r="E75" s="160">
        <v>400000</v>
      </c>
      <c r="F75" s="160">
        <v>390000</v>
      </c>
      <c r="G75" s="160">
        <v>366065.549</v>
      </c>
      <c r="H75" s="160">
        <v>0</v>
      </c>
      <c r="I75" s="157"/>
      <c r="J75" s="149">
        <v>366065.56</v>
      </c>
      <c r="K75" s="149">
        <v>0</v>
      </c>
      <c r="L75" s="149">
        <v>600000</v>
      </c>
      <c r="M75" s="149" t="s">
        <v>586</v>
      </c>
      <c r="N75" s="162"/>
    </row>
    <row r="76" spans="2:14" ht="15.75" thickBot="1" x14ac:dyDescent="0.3">
      <c r="B76" s="148"/>
      <c r="C76" s="149">
        <v>20103001</v>
      </c>
      <c r="D76" s="149" t="s">
        <v>22</v>
      </c>
      <c r="E76" s="160">
        <v>240000</v>
      </c>
      <c r="F76" s="160">
        <v>240000</v>
      </c>
      <c r="G76" s="160">
        <v>217308.815</v>
      </c>
      <c r="H76" s="160">
        <v>0</v>
      </c>
      <c r="I76" s="157"/>
      <c r="J76" s="149">
        <v>217308.81</v>
      </c>
      <c r="K76" s="149">
        <v>0</v>
      </c>
      <c r="L76" s="149">
        <v>250000</v>
      </c>
      <c r="M76" s="149" t="s">
        <v>586</v>
      </c>
      <c r="N76" s="162"/>
    </row>
    <row r="77" spans="2:14" ht="15.75" thickBot="1" x14ac:dyDescent="0.3">
      <c r="B77" s="148"/>
      <c r="C77" s="149">
        <v>22601001</v>
      </c>
      <c r="D77" s="149" t="s">
        <v>243</v>
      </c>
      <c r="E77" s="160">
        <v>2000</v>
      </c>
      <c r="F77" s="160">
        <v>2000</v>
      </c>
      <c r="G77" s="160">
        <v>0</v>
      </c>
      <c r="H77" s="160">
        <v>0</v>
      </c>
      <c r="I77" s="157"/>
      <c r="J77" s="149">
        <v>0</v>
      </c>
      <c r="K77" s="149">
        <v>0</v>
      </c>
      <c r="L77" s="149">
        <v>2000</v>
      </c>
      <c r="M77" s="149" t="s">
        <v>586</v>
      </c>
      <c r="N77" s="162"/>
    </row>
    <row r="78" spans="2:14" ht="15.75" thickBot="1" x14ac:dyDescent="0.3">
      <c r="B78" s="148"/>
      <c r="C78" s="149">
        <v>23603002</v>
      </c>
      <c r="D78" s="149" t="s">
        <v>63</v>
      </c>
      <c r="E78" s="160">
        <v>75</v>
      </c>
      <c r="F78" s="160">
        <v>75</v>
      </c>
      <c r="G78" s="160">
        <v>73</v>
      </c>
      <c r="H78" s="160">
        <v>0</v>
      </c>
      <c r="I78" s="157"/>
      <c r="J78" s="149">
        <v>73</v>
      </c>
      <c r="K78" s="149">
        <v>0</v>
      </c>
      <c r="L78" s="149">
        <v>75</v>
      </c>
      <c r="M78" s="149" t="s">
        <v>586</v>
      </c>
      <c r="N78" s="162"/>
    </row>
    <row r="79" spans="2:14" ht="27" thickBot="1" x14ac:dyDescent="0.3">
      <c r="B79" s="148"/>
      <c r="C79" s="149">
        <v>25601001</v>
      </c>
      <c r="D79" s="149" t="s">
        <v>595</v>
      </c>
      <c r="E79" s="160">
        <v>50000</v>
      </c>
      <c r="F79" s="160">
        <v>50000</v>
      </c>
      <c r="G79" s="160">
        <v>0</v>
      </c>
      <c r="H79" s="160">
        <v>0</v>
      </c>
      <c r="I79" s="157"/>
      <c r="J79" s="149">
        <v>0</v>
      </c>
      <c r="K79" s="149">
        <v>0</v>
      </c>
      <c r="L79" s="149">
        <v>50000</v>
      </c>
      <c r="M79" s="149" t="s">
        <v>586</v>
      </c>
      <c r="N79" s="162"/>
    </row>
    <row r="80" spans="2:14" ht="15.75" thickBot="1" x14ac:dyDescent="0.3">
      <c r="B80" s="148"/>
      <c r="C80" s="149">
        <v>25602001</v>
      </c>
      <c r="D80" s="149" t="s">
        <v>596</v>
      </c>
      <c r="E80" s="160">
        <v>10000</v>
      </c>
      <c r="F80" s="160">
        <v>10000</v>
      </c>
      <c r="G80" s="160">
        <v>289.75</v>
      </c>
      <c r="H80" s="160">
        <v>0</v>
      </c>
      <c r="I80" s="157"/>
      <c r="J80" s="149">
        <v>289.75</v>
      </c>
      <c r="K80" s="149">
        <v>0</v>
      </c>
      <c r="L80" s="149">
        <v>10000</v>
      </c>
      <c r="M80" s="149" t="s">
        <v>586</v>
      </c>
      <c r="N80" s="162"/>
    </row>
    <row r="81" spans="2:14" ht="15.75" thickBot="1" x14ac:dyDescent="0.3">
      <c r="B81" s="148"/>
      <c r="C81" s="149">
        <v>25603001</v>
      </c>
      <c r="D81" s="149" t="s">
        <v>449</v>
      </c>
      <c r="E81" s="160">
        <v>10000</v>
      </c>
      <c r="F81" s="160">
        <v>10000</v>
      </c>
      <c r="G81" s="160">
        <v>0</v>
      </c>
      <c r="H81" s="160">
        <v>1000</v>
      </c>
      <c r="I81" s="157"/>
      <c r="J81" s="149">
        <v>0</v>
      </c>
      <c r="K81" s="149">
        <v>0</v>
      </c>
      <c r="L81" s="149">
        <v>10000</v>
      </c>
      <c r="M81" s="149" t="s">
        <v>586</v>
      </c>
      <c r="N81" s="162"/>
    </row>
    <row r="82" spans="2:14" ht="15.75" thickBot="1" x14ac:dyDescent="0.3">
      <c r="B82" s="148"/>
      <c r="C82" s="149">
        <v>26301016</v>
      </c>
      <c r="D82" s="149" t="s">
        <v>454</v>
      </c>
      <c r="E82" s="160">
        <v>5000</v>
      </c>
      <c r="F82" s="160">
        <v>5000</v>
      </c>
      <c r="G82" s="160">
        <v>0</v>
      </c>
      <c r="H82" s="160">
        <v>0</v>
      </c>
      <c r="I82" s="157"/>
      <c r="J82" s="149">
        <v>0</v>
      </c>
      <c r="K82" s="149">
        <v>0</v>
      </c>
      <c r="L82" s="149">
        <v>0</v>
      </c>
      <c r="M82" s="149" t="s">
        <v>602</v>
      </c>
      <c r="N82" s="162"/>
    </row>
    <row r="83" spans="2:14" ht="15" thickBot="1" x14ac:dyDescent="0.25">
      <c r="B83" s="152"/>
      <c r="C83" s="37"/>
      <c r="D83" s="37"/>
      <c r="E83" s="159"/>
      <c r="F83" s="159"/>
      <c r="G83" s="159"/>
      <c r="H83" s="159"/>
      <c r="J83" s="37"/>
      <c r="K83" s="37"/>
      <c r="L83" s="37"/>
      <c r="M83" s="37"/>
      <c r="N83" s="163"/>
    </row>
    <row r="84" spans="2:14" ht="15.75" thickBot="1" x14ac:dyDescent="0.3">
      <c r="B84" s="148" t="s">
        <v>436</v>
      </c>
      <c r="C84" s="149">
        <v>20103001</v>
      </c>
      <c r="D84" s="149" t="s">
        <v>22</v>
      </c>
      <c r="E84" s="160">
        <v>10000</v>
      </c>
      <c r="F84" s="160">
        <v>10000</v>
      </c>
      <c r="G84" s="160">
        <v>6686.57</v>
      </c>
      <c r="H84" s="160">
        <v>0</v>
      </c>
      <c r="I84" s="157"/>
      <c r="J84" s="149">
        <v>6686.5703000000003</v>
      </c>
      <c r="K84" s="149">
        <v>0</v>
      </c>
      <c r="L84" s="149">
        <v>10000</v>
      </c>
      <c r="M84" s="149" t="s">
        <v>586</v>
      </c>
      <c r="N84" s="162"/>
    </row>
    <row r="85" spans="2:14" ht="15.75" thickBot="1" x14ac:dyDescent="0.3">
      <c r="B85" s="148"/>
      <c r="C85" s="149">
        <v>23603002</v>
      </c>
      <c r="D85" s="149" t="s">
        <v>63</v>
      </c>
      <c r="E85" s="160">
        <v>75</v>
      </c>
      <c r="F85" s="160">
        <v>75</v>
      </c>
      <c r="G85" s="160">
        <v>0</v>
      </c>
      <c r="H85" s="160">
        <v>0</v>
      </c>
      <c r="I85" s="157"/>
      <c r="J85" s="149">
        <v>0</v>
      </c>
      <c r="K85" s="149">
        <v>0</v>
      </c>
      <c r="L85" s="149">
        <v>75</v>
      </c>
      <c r="M85" s="149" t="s">
        <v>586</v>
      </c>
      <c r="N85" s="162"/>
    </row>
    <row r="86" spans="2:14" ht="15" thickBot="1" x14ac:dyDescent="0.25">
      <c r="B86" s="152"/>
      <c r="C86" s="37"/>
      <c r="D86" s="37"/>
      <c r="E86" s="159"/>
      <c r="F86" s="159"/>
      <c r="G86" s="159"/>
      <c r="H86" s="159"/>
      <c r="J86" s="37"/>
      <c r="K86" s="37"/>
      <c r="L86" s="37"/>
      <c r="M86" s="37"/>
      <c r="N86" s="163"/>
    </row>
    <row r="87" spans="2:14" ht="15.75" thickBot="1" x14ac:dyDescent="0.3">
      <c r="B87" s="148" t="s">
        <v>353</v>
      </c>
      <c r="C87" s="149">
        <v>20103001</v>
      </c>
      <c r="D87" s="149" t="s">
        <v>22</v>
      </c>
      <c r="E87" s="160">
        <v>600000</v>
      </c>
      <c r="F87" s="160">
        <v>586700</v>
      </c>
      <c r="G87" s="160">
        <v>535991.07400000002</v>
      </c>
      <c r="H87" s="160">
        <v>0</v>
      </c>
      <c r="I87" s="157"/>
      <c r="J87" s="149">
        <v>535991.06000000006</v>
      </c>
      <c r="K87" s="149">
        <v>0</v>
      </c>
      <c r="L87" s="149">
        <v>600000</v>
      </c>
      <c r="M87" s="149" t="s">
        <v>586</v>
      </c>
      <c r="N87" s="162"/>
    </row>
    <row r="88" spans="2:14" ht="15.75" thickBot="1" x14ac:dyDescent="0.3">
      <c r="B88" s="148"/>
      <c r="C88" s="149">
        <v>21606002</v>
      </c>
      <c r="D88" s="149" t="s">
        <v>40</v>
      </c>
      <c r="E88" s="160">
        <v>7000</v>
      </c>
      <c r="F88" s="160">
        <v>7000</v>
      </c>
      <c r="G88" s="160">
        <v>0</v>
      </c>
      <c r="H88" s="160">
        <v>0</v>
      </c>
      <c r="I88" s="157"/>
      <c r="J88" s="149">
        <v>0</v>
      </c>
      <c r="K88" s="149">
        <v>7000</v>
      </c>
      <c r="L88" s="149">
        <v>7000</v>
      </c>
      <c r="M88" s="149" t="s">
        <v>586</v>
      </c>
      <c r="N88" s="162"/>
    </row>
    <row r="89" spans="2:14" ht="15.75" thickBot="1" x14ac:dyDescent="0.3">
      <c r="B89" s="148"/>
      <c r="C89" s="149">
        <v>22601001</v>
      </c>
      <c r="D89" s="149" t="s">
        <v>243</v>
      </c>
      <c r="E89" s="160">
        <v>15000</v>
      </c>
      <c r="F89" s="160">
        <v>15000</v>
      </c>
      <c r="G89" s="160">
        <v>2505.5500000000002</v>
      </c>
      <c r="H89" s="160">
        <v>0</v>
      </c>
      <c r="I89" s="157"/>
      <c r="J89" s="149">
        <v>2505.5500000000002</v>
      </c>
      <c r="K89" s="149">
        <v>15000</v>
      </c>
      <c r="L89" s="149">
        <v>15000</v>
      </c>
      <c r="M89" s="149" t="s">
        <v>586</v>
      </c>
      <c r="N89" s="162"/>
    </row>
    <row r="90" spans="2:14" ht="15.75" thickBot="1" x14ac:dyDescent="0.3">
      <c r="B90" s="148"/>
      <c r="C90" s="149">
        <v>22601003</v>
      </c>
      <c r="D90" s="149" t="s">
        <v>43</v>
      </c>
      <c r="E90" s="160">
        <v>7000</v>
      </c>
      <c r="F90" s="160">
        <v>7000</v>
      </c>
      <c r="G90" s="160">
        <v>918.75</v>
      </c>
      <c r="H90" s="160">
        <v>393.75</v>
      </c>
      <c r="I90" s="157"/>
      <c r="J90" s="149">
        <v>918.75</v>
      </c>
      <c r="K90" s="149">
        <v>7000</v>
      </c>
      <c r="L90" s="149">
        <v>7000</v>
      </c>
      <c r="M90" s="149" t="s">
        <v>586</v>
      </c>
      <c r="N90" s="162"/>
    </row>
    <row r="91" spans="2:14" ht="15.75" thickBot="1" x14ac:dyDescent="0.3">
      <c r="B91" s="148"/>
      <c r="C91" s="149">
        <v>22601006</v>
      </c>
      <c r="D91" s="149" t="s">
        <v>603</v>
      </c>
      <c r="E91" s="160">
        <v>15000</v>
      </c>
      <c r="F91" s="160">
        <v>15000</v>
      </c>
      <c r="G91" s="160">
        <v>0</v>
      </c>
      <c r="H91" s="160">
        <v>0</v>
      </c>
      <c r="I91" s="157"/>
      <c r="J91" s="149">
        <v>0</v>
      </c>
      <c r="K91" s="149">
        <v>15000</v>
      </c>
      <c r="L91" s="149">
        <v>15000</v>
      </c>
      <c r="M91" s="149" t="s">
        <v>586</v>
      </c>
      <c r="N91" s="162"/>
    </row>
    <row r="92" spans="2:14" ht="15.75" thickBot="1" x14ac:dyDescent="0.3">
      <c r="B92" s="148"/>
      <c r="C92" s="149">
        <v>22601009</v>
      </c>
      <c r="D92" s="149" t="s">
        <v>44</v>
      </c>
      <c r="E92" s="160">
        <v>5000</v>
      </c>
      <c r="F92" s="160">
        <v>5000</v>
      </c>
      <c r="G92" s="160">
        <v>275.69600000000003</v>
      </c>
      <c r="H92" s="160">
        <v>0</v>
      </c>
      <c r="I92" s="157"/>
      <c r="J92" s="149">
        <v>275.69600000000003</v>
      </c>
      <c r="K92" s="149">
        <v>5000</v>
      </c>
      <c r="L92" s="149">
        <v>5000</v>
      </c>
      <c r="M92" s="149" t="s">
        <v>586</v>
      </c>
      <c r="N92" s="162"/>
    </row>
    <row r="93" spans="2:14" ht="15.75" thickBot="1" x14ac:dyDescent="0.3">
      <c r="B93" s="148"/>
      <c r="C93" s="149">
        <v>22602001</v>
      </c>
      <c r="D93" s="149" t="s">
        <v>45</v>
      </c>
      <c r="E93" s="160">
        <v>100000</v>
      </c>
      <c r="F93" s="160">
        <v>100000</v>
      </c>
      <c r="G93" s="160">
        <v>13125</v>
      </c>
      <c r="H93" s="160">
        <v>0</v>
      </c>
      <c r="I93" s="157"/>
      <c r="J93" s="149">
        <v>13125</v>
      </c>
      <c r="K93" s="149">
        <v>100000</v>
      </c>
      <c r="L93" s="149">
        <v>100000</v>
      </c>
      <c r="M93" s="149" t="s">
        <v>586</v>
      </c>
      <c r="N93" s="162"/>
    </row>
    <row r="94" spans="2:14" ht="15.75" thickBot="1" x14ac:dyDescent="0.3">
      <c r="B94" s="148"/>
      <c r="C94" s="149">
        <v>22603001</v>
      </c>
      <c r="D94" s="149" t="s">
        <v>46</v>
      </c>
      <c r="E94" s="160">
        <v>120000</v>
      </c>
      <c r="F94" s="160">
        <v>120000</v>
      </c>
      <c r="G94" s="160">
        <v>43872.08</v>
      </c>
      <c r="H94" s="160">
        <v>1</v>
      </c>
      <c r="I94" s="157"/>
      <c r="J94" s="149">
        <v>43872.08</v>
      </c>
      <c r="K94" s="149">
        <v>120000</v>
      </c>
      <c r="L94" s="149">
        <v>120000</v>
      </c>
      <c r="M94" s="149" t="s">
        <v>586</v>
      </c>
      <c r="N94" s="162"/>
    </row>
    <row r="95" spans="2:14" ht="15.75" thickBot="1" x14ac:dyDescent="0.3">
      <c r="B95" s="148"/>
      <c r="C95" s="149">
        <v>22604001</v>
      </c>
      <c r="D95" s="149" t="s">
        <v>47</v>
      </c>
      <c r="E95" s="160">
        <v>25000</v>
      </c>
      <c r="F95" s="160">
        <v>25000</v>
      </c>
      <c r="G95" s="160">
        <v>0</v>
      </c>
      <c r="H95" s="160">
        <v>20001</v>
      </c>
      <c r="I95" s="157"/>
      <c r="J95" s="149">
        <v>0</v>
      </c>
      <c r="K95" s="149">
        <v>25000</v>
      </c>
      <c r="L95" s="149">
        <v>25000</v>
      </c>
      <c r="M95" s="149" t="s">
        <v>586</v>
      </c>
      <c r="N95" s="162"/>
    </row>
    <row r="96" spans="2:14" ht="15.75" thickBot="1" x14ac:dyDescent="0.3">
      <c r="B96" s="148"/>
      <c r="C96" s="149">
        <v>22605002</v>
      </c>
      <c r="D96" s="149" t="s">
        <v>48</v>
      </c>
      <c r="E96" s="160">
        <v>15000</v>
      </c>
      <c r="F96" s="160">
        <v>15000</v>
      </c>
      <c r="G96" s="160">
        <v>0</v>
      </c>
      <c r="H96" s="160">
        <v>0</v>
      </c>
      <c r="I96" s="157"/>
      <c r="J96" s="149">
        <v>0</v>
      </c>
      <c r="K96" s="149">
        <v>15000</v>
      </c>
      <c r="L96" s="149">
        <v>15000</v>
      </c>
      <c r="M96" s="149" t="s">
        <v>586</v>
      </c>
      <c r="N96" s="162"/>
    </row>
    <row r="97" spans="2:14" ht="15.75" thickBot="1" x14ac:dyDescent="0.3">
      <c r="B97" s="148"/>
      <c r="C97" s="149">
        <v>22605003</v>
      </c>
      <c r="D97" s="149" t="s">
        <v>49</v>
      </c>
      <c r="E97" s="160">
        <v>5000</v>
      </c>
      <c r="F97" s="160">
        <v>5000</v>
      </c>
      <c r="G97" s="160">
        <v>0</v>
      </c>
      <c r="H97" s="160">
        <v>0</v>
      </c>
      <c r="I97" s="157"/>
      <c r="J97" s="149">
        <v>0</v>
      </c>
      <c r="K97" s="149">
        <v>5000</v>
      </c>
      <c r="L97" s="149">
        <v>5000</v>
      </c>
      <c r="M97" s="149" t="s">
        <v>586</v>
      </c>
      <c r="N97" s="162"/>
    </row>
    <row r="98" spans="2:14" ht="15.75" thickBot="1" x14ac:dyDescent="0.3">
      <c r="B98" s="148"/>
      <c r="C98" s="149">
        <v>22607001</v>
      </c>
      <c r="D98" s="149" t="s">
        <v>50</v>
      </c>
      <c r="E98" s="160">
        <v>2000</v>
      </c>
      <c r="F98" s="160">
        <v>2000</v>
      </c>
      <c r="G98" s="160">
        <v>0</v>
      </c>
      <c r="H98" s="160">
        <v>0</v>
      </c>
      <c r="I98" s="157"/>
      <c r="J98" s="149">
        <v>0</v>
      </c>
      <c r="K98" s="149">
        <v>2000</v>
      </c>
      <c r="L98" s="149">
        <v>2000</v>
      </c>
      <c r="M98" s="149" t="s">
        <v>586</v>
      </c>
      <c r="N98" s="162"/>
    </row>
    <row r="99" spans="2:14" ht="27" thickBot="1" x14ac:dyDescent="0.3">
      <c r="B99" s="148"/>
      <c r="C99" s="149">
        <v>22609001</v>
      </c>
      <c r="D99" s="149" t="s">
        <v>604</v>
      </c>
      <c r="E99" s="160">
        <v>5000</v>
      </c>
      <c r="F99" s="160">
        <v>5000</v>
      </c>
      <c r="G99" s="160">
        <v>520</v>
      </c>
      <c r="H99" s="160">
        <v>0</v>
      </c>
      <c r="I99" s="157"/>
      <c r="J99" s="149">
        <v>520</v>
      </c>
      <c r="K99" s="149">
        <v>5000</v>
      </c>
      <c r="L99" s="149">
        <v>5000</v>
      </c>
      <c r="M99" s="149" t="s">
        <v>586</v>
      </c>
      <c r="N99" s="162"/>
    </row>
    <row r="100" spans="2:14" ht="15.75" thickBot="1" x14ac:dyDescent="0.3">
      <c r="B100" s="148"/>
      <c r="C100" s="149">
        <v>23603002</v>
      </c>
      <c r="D100" s="149" t="s">
        <v>63</v>
      </c>
      <c r="E100" s="160">
        <v>600</v>
      </c>
      <c r="F100" s="160">
        <v>600</v>
      </c>
      <c r="G100" s="160">
        <v>344.9</v>
      </c>
      <c r="H100" s="160">
        <v>0</v>
      </c>
      <c r="I100" s="157"/>
      <c r="J100" s="149">
        <v>344.9</v>
      </c>
      <c r="K100" s="149">
        <v>600</v>
      </c>
      <c r="L100" s="149">
        <v>600</v>
      </c>
      <c r="M100" s="149" t="s">
        <v>586</v>
      </c>
      <c r="N100" s="162"/>
    </row>
    <row r="101" spans="2:14" ht="27" thickBot="1" x14ac:dyDescent="0.3">
      <c r="B101" s="148"/>
      <c r="C101" s="149">
        <v>26302005</v>
      </c>
      <c r="D101" s="149" t="s">
        <v>605</v>
      </c>
      <c r="E101" s="160">
        <v>20000</v>
      </c>
      <c r="F101" s="160">
        <v>0</v>
      </c>
      <c r="G101" s="160">
        <v>0</v>
      </c>
      <c r="H101" s="160">
        <v>0</v>
      </c>
      <c r="I101" s="157"/>
      <c r="J101" s="149">
        <v>0</v>
      </c>
      <c r="K101" s="149">
        <v>20000</v>
      </c>
      <c r="L101" s="149">
        <v>20000</v>
      </c>
      <c r="M101" s="149" t="s">
        <v>586</v>
      </c>
      <c r="N101" s="162"/>
    </row>
    <row r="102" spans="2:14" ht="15.75" thickBot="1" x14ac:dyDescent="0.3">
      <c r="B102" s="148"/>
      <c r="C102" s="149">
        <v>26303001</v>
      </c>
      <c r="D102" s="149" t="s">
        <v>294</v>
      </c>
      <c r="E102" s="160">
        <v>10000</v>
      </c>
      <c r="F102" s="160">
        <v>10000</v>
      </c>
      <c r="G102" s="160">
        <v>0</v>
      </c>
      <c r="H102" s="160">
        <v>0</v>
      </c>
      <c r="I102" s="157"/>
      <c r="J102" s="149">
        <v>0</v>
      </c>
      <c r="K102" s="149">
        <v>10000</v>
      </c>
      <c r="L102" s="149">
        <v>10000</v>
      </c>
      <c r="M102" s="149" t="s">
        <v>586</v>
      </c>
      <c r="N102" s="162"/>
    </row>
    <row r="103" spans="2:14" ht="15.75" thickBot="1" x14ac:dyDescent="0.3">
      <c r="B103" s="148"/>
      <c r="C103" s="149">
        <v>26303002</v>
      </c>
      <c r="D103" s="149" t="s">
        <v>606</v>
      </c>
      <c r="E103" s="160">
        <v>4000</v>
      </c>
      <c r="F103" s="160">
        <v>4000</v>
      </c>
      <c r="G103" s="160">
        <v>0</v>
      </c>
      <c r="H103" s="160">
        <v>0</v>
      </c>
      <c r="I103" s="157"/>
      <c r="J103" s="149">
        <v>0</v>
      </c>
      <c r="K103" s="149">
        <v>4000</v>
      </c>
      <c r="L103" s="149">
        <v>4000</v>
      </c>
      <c r="M103" s="149" t="s">
        <v>586</v>
      </c>
      <c r="N103" s="162"/>
    </row>
    <row r="104" spans="2:14" ht="15" thickBot="1" x14ac:dyDescent="0.25">
      <c r="B104" s="152"/>
      <c r="C104" s="37"/>
      <c r="D104" s="37"/>
      <c r="E104" s="159"/>
      <c r="F104" s="159"/>
      <c r="G104" s="159"/>
      <c r="H104" s="159"/>
      <c r="J104" s="37"/>
      <c r="K104" s="37"/>
      <c r="L104" s="37"/>
      <c r="M104" s="37"/>
      <c r="N104" s="163"/>
    </row>
    <row r="105" spans="2:14" ht="15.75" thickBot="1" x14ac:dyDescent="0.3">
      <c r="B105" s="148" t="s">
        <v>351</v>
      </c>
      <c r="C105" s="149">
        <v>20103001</v>
      </c>
      <c r="D105" s="149" t="s">
        <v>22</v>
      </c>
      <c r="E105" s="160">
        <v>70000</v>
      </c>
      <c r="F105" s="160">
        <v>70000</v>
      </c>
      <c r="G105" s="160">
        <v>51117.02</v>
      </c>
      <c r="H105" s="160">
        <v>0</v>
      </c>
      <c r="I105" s="157"/>
      <c r="J105" s="149">
        <v>51117.02</v>
      </c>
      <c r="K105" s="149">
        <v>0</v>
      </c>
      <c r="L105" s="149">
        <v>70000</v>
      </c>
      <c r="M105" s="149" t="s">
        <v>586</v>
      </c>
      <c r="N105" s="162"/>
    </row>
    <row r="106" spans="2:14" ht="15.75" thickBot="1" x14ac:dyDescent="0.3">
      <c r="B106" s="148"/>
      <c r="C106" s="149">
        <v>23603002</v>
      </c>
      <c r="D106" s="149" t="s">
        <v>63</v>
      </c>
      <c r="E106" s="160">
        <v>75</v>
      </c>
      <c r="F106" s="160">
        <v>75</v>
      </c>
      <c r="G106" s="160">
        <v>45</v>
      </c>
      <c r="H106" s="160">
        <v>0</v>
      </c>
      <c r="I106" s="157"/>
      <c r="J106" s="149">
        <v>45</v>
      </c>
      <c r="K106" s="149">
        <v>75</v>
      </c>
      <c r="L106" s="149">
        <v>75</v>
      </c>
      <c r="M106" s="149" t="s">
        <v>586</v>
      </c>
      <c r="N106" s="162"/>
    </row>
    <row r="107" spans="2:14" ht="15.75" thickBot="1" x14ac:dyDescent="0.3">
      <c r="B107" s="148"/>
      <c r="C107" s="149">
        <v>25101001</v>
      </c>
      <c r="D107" s="149" t="s">
        <v>85</v>
      </c>
      <c r="E107" s="160">
        <v>100000</v>
      </c>
      <c r="F107" s="160">
        <v>10000</v>
      </c>
      <c r="G107" s="160">
        <v>0</v>
      </c>
      <c r="H107" s="160">
        <v>5000</v>
      </c>
      <c r="I107" s="157"/>
      <c r="J107" s="149">
        <v>0</v>
      </c>
      <c r="K107" s="149">
        <v>100000</v>
      </c>
      <c r="L107" s="149">
        <v>100000</v>
      </c>
      <c r="M107" s="149" t="s">
        <v>586</v>
      </c>
      <c r="N107" s="162"/>
    </row>
    <row r="108" spans="2:14" ht="15.75" thickBot="1" x14ac:dyDescent="0.3">
      <c r="B108" s="148"/>
      <c r="C108" s="149">
        <v>25101002</v>
      </c>
      <c r="D108" s="149" t="s">
        <v>86</v>
      </c>
      <c r="E108" s="160">
        <v>60000</v>
      </c>
      <c r="F108" s="160">
        <v>35000</v>
      </c>
      <c r="G108" s="160">
        <v>20775</v>
      </c>
      <c r="H108" s="160">
        <v>0</v>
      </c>
      <c r="I108" s="157"/>
      <c r="J108" s="149">
        <v>20775</v>
      </c>
      <c r="K108" s="149">
        <v>30000</v>
      </c>
      <c r="L108" s="149">
        <v>30000</v>
      </c>
      <c r="M108" s="149" t="s">
        <v>586</v>
      </c>
      <c r="N108" s="162"/>
    </row>
    <row r="109" spans="2:14" ht="15.75" thickBot="1" x14ac:dyDescent="0.3">
      <c r="B109" s="148"/>
      <c r="C109" s="149">
        <v>25102001</v>
      </c>
      <c r="D109" s="149" t="s">
        <v>607</v>
      </c>
      <c r="E109" s="160">
        <v>15000</v>
      </c>
      <c r="F109" s="160">
        <v>15000</v>
      </c>
      <c r="G109" s="160">
        <v>4598.7370000000001</v>
      </c>
      <c r="H109" s="160">
        <v>0</v>
      </c>
      <c r="I109" s="157"/>
      <c r="J109" s="149">
        <v>4598.7370000000001</v>
      </c>
      <c r="K109" s="149">
        <v>15000</v>
      </c>
      <c r="L109" s="149">
        <v>15000</v>
      </c>
      <c r="M109" s="149" t="s">
        <v>586</v>
      </c>
      <c r="N109" s="162"/>
    </row>
    <row r="110" spans="2:14" ht="15.75" thickBot="1" x14ac:dyDescent="0.3">
      <c r="B110" s="148"/>
      <c r="C110" s="149">
        <v>25301001</v>
      </c>
      <c r="D110" s="149" t="s">
        <v>92</v>
      </c>
      <c r="E110" s="160">
        <v>100000</v>
      </c>
      <c r="F110" s="160">
        <v>10000</v>
      </c>
      <c r="G110" s="160">
        <v>2356.25</v>
      </c>
      <c r="H110" s="160">
        <v>0</v>
      </c>
      <c r="I110" s="157"/>
      <c r="J110" s="149">
        <v>2356.25</v>
      </c>
      <c r="K110" s="149">
        <v>50000</v>
      </c>
      <c r="L110" s="149">
        <v>50000</v>
      </c>
      <c r="M110" s="149" t="s">
        <v>586</v>
      </c>
      <c r="N110" s="162"/>
    </row>
    <row r="111" spans="2:14" ht="15.75" thickBot="1" x14ac:dyDescent="0.3">
      <c r="B111" s="148"/>
      <c r="C111" s="149">
        <v>25301002</v>
      </c>
      <c r="D111" s="149" t="s">
        <v>93</v>
      </c>
      <c r="E111" s="160">
        <v>10000</v>
      </c>
      <c r="F111" s="160">
        <v>10000</v>
      </c>
      <c r="G111" s="160">
        <v>0</v>
      </c>
      <c r="H111" s="160">
        <v>0</v>
      </c>
      <c r="I111" s="157"/>
      <c r="J111" s="149">
        <v>0</v>
      </c>
      <c r="K111" s="149">
        <v>25000</v>
      </c>
      <c r="L111" s="149">
        <v>25000</v>
      </c>
      <c r="M111" s="149" t="s">
        <v>586</v>
      </c>
      <c r="N111" s="162"/>
    </row>
    <row r="112" spans="2:14" ht="15.75" thickBot="1" x14ac:dyDescent="0.3">
      <c r="B112" s="148"/>
      <c r="C112" s="149">
        <v>25301003</v>
      </c>
      <c r="D112" s="149" t="s">
        <v>94</v>
      </c>
      <c r="E112" s="160">
        <v>10000</v>
      </c>
      <c r="F112" s="160">
        <v>10000</v>
      </c>
      <c r="G112" s="160">
        <v>0</v>
      </c>
      <c r="H112" s="160">
        <v>0</v>
      </c>
      <c r="I112" s="157"/>
      <c r="J112" s="149">
        <v>0</v>
      </c>
      <c r="K112" s="149">
        <v>10000</v>
      </c>
      <c r="L112" s="149">
        <v>10000</v>
      </c>
      <c r="M112" s="149" t="s">
        <v>586</v>
      </c>
      <c r="N112" s="162"/>
    </row>
    <row r="113" spans="2:14" ht="15.75" thickBot="1" x14ac:dyDescent="0.3">
      <c r="B113" s="148"/>
      <c r="C113" s="149">
        <v>25401001</v>
      </c>
      <c r="D113" s="149" t="s">
        <v>608</v>
      </c>
      <c r="E113" s="160">
        <v>20000</v>
      </c>
      <c r="F113" s="160">
        <v>20000</v>
      </c>
      <c r="G113" s="160">
        <v>6750</v>
      </c>
      <c r="H113" s="160">
        <v>0</v>
      </c>
      <c r="I113" s="157"/>
      <c r="J113" s="149">
        <v>6750</v>
      </c>
      <c r="K113" s="149">
        <v>20000</v>
      </c>
      <c r="L113" s="149">
        <v>20000</v>
      </c>
      <c r="M113" s="149" t="s">
        <v>586</v>
      </c>
      <c r="N113" s="162"/>
    </row>
    <row r="114" spans="2:14" ht="15.75" thickBot="1" x14ac:dyDescent="0.3">
      <c r="B114" s="148"/>
      <c r="C114" s="149">
        <v>25401002</v>
      </c>
      <c r="D114" s="149" t="s">
        <v>95</v>
      </c>
      <c r="E114" s="160">
        <v>1000</v>
      </c>
      <c r="F114" s="160">
        <v>1000</v>
      </c>
      <c r="G114" s="160">
        <v>0</v>
      </c>
      <c r="H114" s="160">
        <v>0</v>
      </c>
      <c r="I114" s="157"/>
      <c r="J114" s="149">
        <v>0</v>
      </c>
      <c r="K114" s="149">
        <v>1000</v>
      </c>
      <c r="L114" s="149">
        <v>1000</v>
      </c>
      <c r="M114" s="149" t="s">
        <v>586</v>
      </c>
      <c r="N114" s="162"/>
    </row>
    <row r="115" spans="2:14" ht="15.75" thickBot="1" x14ac:dyDescent="0.3">
      <c r="B115" s="148"/>
      <c r="C115" s="149">
        <v>25401003</v>
      </c>
      <c r="D115" s="149" t="s">
        <v>96</v>
      </c>
      <c r="E115" s="160">
        <v>1000</v>
      </c>
      <c r="F115" s="160">
        <v>1000</v>
      </c>
      <c r="G115" s="160">
        <v>0</v>
      </c>
      <c r="H115" s="160">
        <v>0</v>
      </c>
      <c r="I115" s="157"/>
      <c r="J115" s="149">
        <v>0</v>
      </c>
      <c r="K115" s="149">
        <v>5000</v>
      </c>
      <c r="L115" s="149">
        <v>5000</v>
      </c>
      <c r="M115" s="149" t="s">
        <v>586</v>
      </c>
      <c r="N115" s="162"/>
    </row>
    <row r="116" spans="2:14" ht="15.75" thickBot="1" x14ac:dyDescent="0.3">
      <c r="B116" s="148"/>
      <c r="C116" s="149">
        <v>25401005</v>
      </c>
      <c r="D116" s="149" t="s">
        <v>609</v>
      </c>
      <c r="E116" s="160">
        <v>25000</v>
      </c>
      <c r="F116" s="160">
        <v>25000</v>
      </c>
      <c r="G116" s="160">
        <v>18495</v>
      </c>
      <c r="H116" s="160">
        <v>0</v>
      </c>
      <c r="I116" s="157"/>
      <c r="J116" s="149">
        <v>18495</v>
      </c>
      <c r="K116" s="149">
        <v>25000</v>
      </c>
      <c r="L116" s="149">
        <v>25000</v>
      </c>
      <c r="M116" s="149" t="s">
        <v>586</v>
      </c>
      <c r="N116" s="162"/>
    </row>
    <row r="117" spans="2:14" ht="15" thickBot="1" x14ac:dyDescent="0.25">
      <c r="B117" s="152"/>
      <c r="C117" s="37"/>
      <c r="D117" s="37"/>
      <c r="E117" s="159"/>
      <c r="F117" s="159"/>
      <c r="G117" s="159"/>
      <c r="H117" s="159"/>
      <c r="J117" s="37"/>
      <c r="K117" s="37"/>
      <c r="L117" s="37"/>
      <c r="M117" s="37"/>
      <c r="N117" s="163"/>
    </row>
    <row r="118" spans="2:14" ht="15.75" thickBot="1" x14ac:dyDescent="0.3">
      <c r="B118" s="148" t="s">
        <v>350</v>
      </c>
      <c r="C118" s="149">
        <v>20103001</v>
      </c>
      <c r="D118" s="149" t="s">
        <v>22</v>
      </c>
      <c r="E118" s="160">
        <v>45000</v>
      </c>
      <c r="F118" s="160">
        <v>49300</v>
      </c>
      <c r="G118" s="160">
        <v>48428.148000000001</v>
      </c>
      <c r="H118" s="160">
        <v>0</v>
      </c>
      <c r="I118" s="157"/>
      <c r="J118" s="149">
        <v>48428.15</v>
      </c>
      <c r="K118" s="149">
        <v>0</v>
      </c>
      <c r="L118" s="149">
        <v>55000</v>
      </c>
      <c r="M118" s="149" t="s">
        <v>586</v>
      </c>
      <c r="N118" s="162"/>
    </row>
    <row r="119" spans="2:14" ht="15.75" thickBot="1" x14ac:dyDescent="0.3">
      <c r="B119" s="148"/>
      <c r="C119" s="149">
        <v>23603002</v>
      </c>
      <c r="D119" s="149" t="s">
        <v>63</v>
      </c>
      <c r="E119" s="160">
        <v>75</v>
      </c>
      <c r="F119" s="160">
        <v>75</v>
      </c>
      <c r="G119" s="160">
        <v>72.599999999999994</v>
      </c>
      <c r="H119" s="160">
        <v>0</v>
      </c>
      <c r="I119" s="157"/>
      <c r="J119" s="149">
        <v>72.599999999999994</v>
      </c>
      <c r="K119" s="149">
        <v>0</v>
      </c>
      <c r="L119" s="149">
        <v>75</v>
      </c>
      <c r="M119" s="149" t="s">
        <v>586</v>
      </c>
      <c r="N119" s="162"/>
    </row>
    <row r="120" spans="2:14" ht="15.75" thickBot="1" x14ac:dyDescent="0.3">
      <c r="B120" s="148"/>
      <c r="C120" s="149">
        <v>25201004</v>
      </c>
      <c r="D120" s="149" t="s">
        <v>91</v>
      </c>
      <c r="E120" s="160">
        <v>5000</v>
      </c>
      <c r="F120" s="160">
        <v>5000</v>
      </c>
      <c r="G120" s="160">
        <v>0</v>
      </c>
      <c r="H120" s="160">
        <v>0</v>
      </c>
      <c r="I120" s="157"/>
      <c r="J120" s="149">
        <v>0</v>
      </c>
      <c r="K120" s="149">
        <v>0</v>
      </c>
      <c r="L120" s="149">
        <v>5000</v>
      </c>
      <c r="M120" s="149" t="s">
        <v>586</v>
      </c>
      <c r="N120" s="162"/>
    </row>
    <row r="121" spans="2:14" ht="15.75" thickBot="1" x14ac:dyDescent="0.3">
      <c r="B121" s="148"/>
      <c r="C121" s="149">
        <v>25201005</v>
      </c>
      <c r="D121" s="149" t="s">
        <v>87</v>
      </c>
      <c r="E121" s="160">
        <v>10000</v>
      </c>
      <c r="F121" s="160">
        <v>10000</v>
      </c>
      <c r="G121" s="160">
        <v>300</v>
      </c>
      <c r="H121" s="160">
        <v>600</v>
      </c>
      <c r="I121" s="157"/>
      <c r="J121" s="149">
        <v>300</v>
      </c>
      <c r="K121" s="149">
        <v>0</v>
      </c>
      <c r="L121" s="149">
        <v>10000</v>
      </c>
      <c r="M121" s="149" t="s">
        <v>586</v>
      </c>
      <c r="N121" s="162"/>
    </row>
    <row r="122" spans="2:14" ht="15" thickBot="1" x14ac:dyDescent="0.25">
      <c r="B122" s="152"/>
      <c r="C122" s="37"/>
      <c r="D122" s="37"/>
      <c r="E122" s="159"/>
      <c r="F122" s="159"/>
      <c r="G122" s="159"/>
      <c r="H122" s="159"/>
      <c r="J122" s="37"/>
      <c r="K122" s="37"/>
      <c r="L122" s="37"/>
      <c r="M122" s="37"/>
      <c r="N122" s="163"/>
    </row>
    <row r="123" spans="2:14" ht="15.75" thickBot="1" x14ac:dyDescent="0.3">
      <c r="B123" s="148" t="s">
        <v>347</v>
      </c>
      <c r="C123" s="149">
        <v>20101001</v>
      </c>
      <c r="D123" s="149" t="s">
        <v>15</v>
      </c>
      <c r="E123" s="160">
        <v>250000</v>
      </c>
      <c r="F123" s="160">
        <v>250000</v>
      </c>
      <c r="G123" s="160">
        <v>235478.902</v>
      </c>
      <c r="H123" s="160">
        <v>0</v>
      </c>
      <c r="I123" s="157"/>
      <c r="J123" s="149">
        <v>235478.9</v>
      </c>
      <c r="K123" s="149">
        <v>0</v>
      </c>
      <c r="L123" s="149">
        <v>280000</v>
      </c>
      <c r="M123" s="149" t="s">
        <v>586</v>
      </c>
      <c r="N123" s="162"/>
    </row>
    <row r="124" spans="2:14" ht="15.75" thickBot="1" x14ac:dyDescent="0.3">
      <c r="B124" s="148"/>
      <c r="C124" s="149">
        <v>20103001</v>
      </c>
      <c r="D124" s="149" t="s">
        <v>22</v>
      </c>
      <c r="E124" s="160">
        <v>30000</v>
      </c>
      <c r="F124" s="160">
        <v>32500</v>
      </c>
      <c r="G124" s="160">
        <v>31349.503000000001</v>
      </c>
      <c r="H124" s="160">
        <v>0</v>
      </c>
      <c r="I124" s="157"/>
      <c r="J124" s="149">
        <v>31349.504000000001</v>
      </c>
      <c r="K124" s="149">
        <v>0</v>
      </c>
      <c r="L124" s="149">
        <v>40000</v>
      </c>
      <c r="M124" s="149" t="s">
        <v>586</v>
      </c>
      <c r="N124" s="162"/>
    </row>
    <row r="125" spans="2:14" ht="15.75" thickBot="1" x14ac:dyDescent="0.3">
      <c r="B125" s="148"/>
      <c r="C125" s="149">
        <v>23603002</v>
      </c>
      <c r="D125" s="149" t="s">
        <v>63</v>
      </c>
      <c r="E125" s="160">
        <v>75</v>
      </c>
      <c r="F125" s="160">
        <v>75</v>
      </c>
      <c r="G125" s="160">
        <v>0</v>
      </c>
      <c r="H125" s="160">
        <v>0</v>
      </c>
      <c r="I125" s="157"/>
      <c r="J125" s="149">
        <v>0</v>
      </c>
      <c r="K125" s="149">
        <v>0</v>
      </c>
      <c r="L125" s="149">
        <v>75</v>
      </c>
      <c r="M125" s="149" t="s">
        <v>586</v>
      </c>
      <c r="N125" s="162"/>
    </row>
    <row r="126" spans="2:14" ht="15" thickBot="1" x14ac:dyDescent="0.25">
      <c r="B126" s="152"/>
      <c r="C126" s="37"/>
      <c r="D126" s="37"/>
      <c r="E126" s="159"/>
      <c r="F126" s="159"/>
      <c r="G126" s="159"/>
      <c r="H126" s="159"/>
      <c r="J126" s="37"/>
      <c r="K126" s="37"/>
      <c r="L126" s="37"/>
      <c r="M126" s="37"/>
      <c r="N126" s="163"/>
    </row>
    <row r="127" spans="2:14" ht="15.75" thickBot="1" x14ac:dyDescent="0.3">
      <c r="B127" s="148" t="s">
        <v>610</v>
      </c>
      <c r="C127" s="149">
        <v>20101001</v>
      </c>
      <c r="D127" s="149" t="s">
        <v>15</v>
      </c>
      <c r="E127" s="160">
        <v>270000</v>
      </c>
      <c r="F127" s="160">
        <v>300000</v>
      </c>
      <c r="G127" s="160">
        <v>292603.092</v>
      </c>
      <c r="H127" s="160">
        <v>0</v>
      </c>
      <c r="I127" s="157"/>
      <c r="J127" s="149">
        <v>292603.09999999998</v>
      </c>
      <c r="K127" s="149">
        <v>0</v>
      </c>
      <c r="L127" s="149">
        <v>300000</v>
      </c>
      <c r="M127" s="149" t="s">
        <v>586</v>
      </c>
      <c r="N127" s="162"/>
    </row>
    <row r="128" spans="2:14" ht="15.75" thickBot="1" x14ac:dyDescent="0.3">
      <c r="B128" s="148"/>
      <c r="C128" s="149">
        <v>20103001</v>
      </c>
      <c r="D128" s="149" t="s">
        <v>22</v>
      </c>
      <c r="E128" s="160">
        <v>110000</v>
      </c>
      <c r="F128" s="160">
        <v>113000</v>
      </c>
      <c r="G128" s="160">
        <v>108553.249</v>
      </c>
      <c r="H128" s="160">
        <v>0</v>
      </c>
      <c r="I128" s="157"/>
      <c r="J128" s="149">
        <v>108553.25</v>
      </c>
      <c r="K128" s="149">
        <v>0</v>
      </c>
      <c r="L128" s="149">
        <v>110000</v>
      </c>
      <c r="M128" s="149" t="s">
        <v>586</v>
      </c>
      <c r="N128" s="162"/>
    </row>
    <row r="129" spans="2:14" ht="15.75" thickBot="1" x14ac:dyDescent="0.3">
      <c r="B129" s="148"/>
      <c r="C129" s="149">
        <v>22601001</v>
      </c>
      <c r="D129" s="149" t="s">
        <v>243</v>
      </c>
      <c r="E129" s="160">
        <v>5000</v>
      </c>
      <c r="F129" s="160">
        <v>5000</v>
      </c>
      <c r="G129" s="160">
        <v>0</v>
      </c>
      <c r="H129" s="160">
        <v>0</v>
      </c>
      <c r="I129" s="157"/>
      <c r="J129" s="149">
        <v>0</v>
      </c>
      <c r="K129" s="149">
        <v>5000</v>
      </c>
      <c r="L129" s="149">
        <v>5000</v>
      </c>
      <c r="M129" s="149" t="s">
        <v>586</v>
      </c>
      <c r="N129" s="162"/>
    </row>
    <row r="130" spans="2:14" ht="15.75" thickBot="1" x14ac:dyDescent="0.3">
      <c r="B130" s="148"/>
      <c r="C130" s="149">
        <v>23603002</v>
      </c>
      <c r="D130" s="149" t="s">
        <v>63</v>
      </c>
      <c r="E130" s="160">
        <v>75</v>
      </c>
      <c r="F130" s="160">
        <v>75</v>
      </c>
      <c r="G130" s="160">
        <v>75</v>
      </c>
      <c r="H130" s="160">
        <v>0</v>
      </c>
      <c r="I130" s="157"/>
      <c r="J130" s="149">
        <v>75</v>
      </c>
      <c r="K130" s="149">
        <v>100</v>
      </c>
      <c r="L130" s="149">
        <v>75</v>
      </c>
      <c r="M130" s="149" t="s">
        <v>586</v>
      </c>
      <c r="N130" s="162"/>
    </row>
    <row r="131" spans="2:14" ht="27" thickBot="1" x14ac:dyDescent="0.3">
      <c r="B131" s="148"/>
      <c r="C131" s="149">
        <v>25601001</v>
      </c>
      <c r="D131" s="149" t="s">
        <v>595</v>
      </c>
      <c r="E131" s="160">
        <v>50000</v>
      </c>
      <c r="F131" s="160">
        <v>40000</v>
      </c>
      <c r="G131" s="160">
        <v>0</v>
      </c>
      <c r="H131" s="160">
        <v>0</v>
      </c>
      <c r="I131" s="157"/>
      <c r="J131" s="149">
        <v>0</v>
      </c>
      <c r="K131" s="149">
        <v>80000</v>
      </c>
      <c r="L131" s="149">
        <v>80000</v>
      </c>
      <c r="M131" s="149" t="s">
        <v>586</v>
      </c>
      <c r="N131" s="162"/>
    </row>
    <row r="132" spans="2:14" ht="15.75" thickBot="1" x14ac:dyDescent="0.3">
      <c r="B132" s="148"/>
      <c r="C132" s="149">
        <v>25602001</v>
      </c>
      <c r="D132" s="149" t="s">
        <v>596</v>
      </c>
      <c r="E132" s="160">
        <v>3000</v>
      </c>
      <c r="F132" s="160">
        <v>3000</v>
      </c>
      <c r="G132" s="160">
        <v>0</v>
      </c>
      <c r="H132" s="160">
        <v>0</v>
      </c>
      <c r="I132" s="157"/>
      <c r="J132" s="149">
        <v>0</v>
      </c>
      <c r="K132" s="149">
        <v>5000</v>
      </c>
      <c r="L132" s="149">
        <v>5000</v>
      </c>
      <c r="M132" s="149" t="s">
        <v>586</v>
      </c>
      <c r="N132" s="162"/>
    </row>
    <row r="133" spans="2:14" ht="15.75" thickBot="1" x14ac:dyDescent="0.3">
      <c r="B133" s="148"/>
      <c r="C133" s="149">
        <v>25603001</v>
      </c>
      <c r="D133" s="149" t="s">
        <v>449</v>
      </c>
      <c r="E133" s="160">
        <v>5000</v>
      </c>
      <c r="F133" s="160">
        <v>5000</v>
      </c>
      <c r="G133" s="160">
        <v>0</v>
      </c>
      <c r="H133" s="160">
        <v>0</v>
      </c>
      <c r="I133" s="157"/>
      <c r="J133" s="149">
        <v>0</v>
      </c>
      <c r="K133" s="149">
        <v>5000</v>
      </c>
      <c r="L133" s="149">
        <v>5000</v>
      </c>
      <c r="M133" s="149" t="s">
        <v>586</v>
      </c>
      <c r="N133" s="162"/>
    </row>
    <row r="134" spans="2:14" ht="15" thickBot="1" x14ac:dyDescent="0.25">
      <c r="B134" s="152"/>
      <c r="C134" s="37"/>
      <c r="D134" s="37"/>
      <c r="E134" s="159"/>
      <c r="F134" s="159"/>
      <c r="G134" s="159"/>
      <c r="H134" s="159"/>
      <c r="J134" s="37"/>
      <c r="K134" s="37"/>
      <c r="L134" s="37"/>
      <c r="M134" s="37"/>
      <c r="N134" s="163"/>
    </row>
    <row r="135" spans="2:14" ht="15.75" thickBot="1" x14ac:dyDescent="0.3">
      <c r="B135" s="148" t="s">
        <v>611</v>
      </c>
      <c r="C135" s="149">
        <v>20103001</v>
      </c>
      <c r="D135" s="149" t="s">
        <v>22</v>
      </c>
      <c r="E135" s="160">
        <v>20000</v>
      </c>
      <c r="F135" s="160">
        <v>20000</v>
      </c>
      <c r="G135" s="160">
        <v>15750.77</v>
      </c>
      <c r="H135" s="160">
        <v>0</v>
      </c>
      <c r="I135" s="157"/>
      <c r="J135" s="149">
        <v>15750.770500000001</v>
      </c>
      <c r="K135" s="149">
        <v>0</v>
      </c>
      <c r="L135" s="149">
        <v>20000</v>
      </c>
      <c r="M135" s="149" t="s">
        <v>586</v>
      </c>
      <c r="N135" s="162"/>
    </row>
    <row r="136" spans="2:14" ht="15.75" thickBot="1" x14ac:dyDescent="0.3">
      <c r="B136" s="148"/>
      <c r="C136" s="149">
        <v>23603002</v>
      </c>
      <c r="D136" s="149" t="s">
        <v>63</v>
      </c>
      <c r="E136" s="160">
        <v>75</v>
      </c>
      <c r="F136" s="160">
        <v>75</v>
      </c>
      <c r="G136" s="160">
        <v>0</v>
      </c>
      <c r="H136" s="160">
        <v>0</v>
      </c>
      <c r="I136" s="157"/>
      <c r="J136" s="149">
        <v>0</v>
      </c>
      <c r="K136" s="149">
        <v>0</v>
      </c>
      <c r="L136" s="149">
        <v>75</v>
      </c>
      <c r="M136" s="149" t="s">
        <v>586</v>
      </c>
      <c r="N136" s="162"/>
    </row>
    <row r="137" spans="2:14" ht="15" thickBot="1" x14ac:dyDescent="0.25">
      <c r="B137" s="152"/>
      <c r="C137" s="37"/>
      <c r="D137" s="37"/>
      <c r="E137" s="159"/>
      <c r="F137" s="159"/>
      <c r="G137" s="159"/>
      <c r="H137" s="159"/>
      <c r="J137" s="37"/>
      <c r="K137" s="37"/>
      <c r="L137" s="37"/>
      <c r="M137" s="37"/>
      <c r="N137" s="163"/>
    </row>
    <row r="138" spans="2:14" ht="15.75" thickBot="1" x14ac:dyDescent="0.3">
      <c r="B138" s="148" t="s">
        <v>355</v>
      </c>
      <c r="C138" s="153">
        <v>1</v>
      </c>
      <c r="D138" s="153" t="s">
        <v>612</v>
      </c>
      <c r="E138" s="159">
        <v>0</v>
      </c>
      <c r="F138" s="159">
        <v>0</v>
      </c>
      <c r="G138" s="159">
        <v>0</v>
      </c>
      <c r="H138" s="159">
        <v>0</v>
      </c>
      <c r="I138" s="157"/>
      <c r="J138" s="153">
        <v>0</v>
      </c>
      <c r="K138" s="153">
        <v>20000</v>
      </c>
      <c r="L138" s="153">
        <v>20000</v>
      </c>
      <c r="M138" s="153" t="s">
        <v>586</v>
      </c>
      <c r="N138" s="165" t="s">
        <v>613</v>
      </c>
    </row>
    <row r="139" spans="2:14" ht="15.75" thickBot="1" x14ac:dyDescent="0.3">
      <c r="B139" s="148"/>
      <c r="C139" s="153">
        <v>2</v>
      </c>
      <c r="D139" s="153" t="s">
        <v>614</v>
      </c>
      <c r="E139" s="159">
        <v>0</v>
      </c>
      <c r="F139" s="159">
        <v>0</v>
      </c>
      <c r="G139" s="159">
        <v>0</v>
      </c>
      <c r="H139" s="159">
        <v>0</v>
      </c>
      <c r="I139" s="157"/>
      <c r="J139" s="153">
        <v>0</v>
      </c>
      <c r="K139" s="153">
        <v>6000</v>
      </c>
      <c r="L139" s="153">
        <v>6000</v>
      </c>
      <c r="M139" s="153" t="s">
        <v>586</v>
      </c>
      <c r="N139" s="165" t="s">
        <v>615</v>
      </c>
    </row>
    <row r="140" spans="2:14" ht="15.75" thickBot="1" x14ac:dyDescent="0.3">
      <c r="B140" s="148"/>
      <c r="C140" s="153">
        <v>3</v>
      </c>
      <c r="D140" s="153" t="s">
        <v>472</v>
      </c>
      <c r="E140" s="159">
        <v>0</v>
      </c>
      <c r="F140" s="159">
        <v>0</v>
      </c>
      <c r="G140" s="159">
        <v>0</v>
      </c>
      <c r="H140" s="159">
        <v>0</v>
      </c>
      <c r="I140" s="157"/>
      <c r="J140" s="153">
        <v>0</v>
      </c>
      <c r="K140" s="153">
        <v>200000</v>
      </c>
      <c r="L140" s="153">
        <v>200000</v>
      </c>
      <c r="M140" s="153" t="s">
        <v>586</v>
      </c>
      <c r="N140" s="165" t="s">
        <v>616</v>
      </c>
    </row>
    <row r="141" spans="2:14" ht="15.75" thickBot="1" x14ac:dyDescent="0.3">
      <c r="B141" s="148"/>
      <c r="C141" s="149">
        <v>20103001</v>
      </c>
      <c r="D141" s="149" t="s">
        <v>22</v>
      </c>
      <c r="E141" s="160">
        <v>510000</v>
      </c>
      <c r="F141" s="160">
        <v>474000</v>
      </c>
      <c r="G141" s="160">
        <v>467620.21100000001</v>
      </c>
      <c r="H141" s="160">
        <v>0</v>
      </c>
      <c r="I141" s="157"/>
      <c r="J141" s="149">
        <v>467620.2</v>
      </c>
      <c r="K141" s="149">
        <v>0</v>
      </c>
      <c r="L141" s="149">
        <v>510000</v>
      </c>
      <c r="M141" s="149" t="s">
        <v>586</v>
      </c>
      <c r="N141" s="162"/>
    </row>
    <row r="142" spans="2:14" ht="15.75" thickBot="1" x14ac:dyDescent="0.3">
      <c r="B142" s="148"/>
      <c r="C142" s="149">
        <v>21603003</v>
      </c>
      <c r="D142" s="149" t="s">
        <v>234</v>
      </c>
      <c r="E142" s="160">
        <v>40000</v>
      </c>
      <c r="F142" s="160">
        <v>45000</v>
      </c>
      <c r="G142" s="160">
        <v>5559.61</v>
      </c>
      <c r="H142" s="160">
        <v>35000</v>
      </c>
      <c r="I142" s="157"/>
      <c r="J142" s="149">
        <v>5559.61</v>
      </c>
      <c r="K142" s="149">
        <v>40000</v>
      </c>
      <c r="L142" s="149">
        <v>40000</v>
      </c>
      <c r="M142" s="149" t="s">
        <v>586</v>
      </c>
      <c r="N142" s="166" t="s">
        <v>586</v>
      </c>
    </row>
    <row r="143" spans="2:14" ht="15.75" thickBot="1" x14ac:dyDescent="0.3">
      <c r="B143" s="148"/>
      <c r="C143" s="149">
        <v>21603004</v>
      </c>
      <c r="D143" s="149" t="s">
        <v>233</v>
      </c>
      <c r="E143" s="160">
        <v>95000</v>
      </c>
      <c r="F143" s="160">
        <v>95000</v>
      </c>
      <c r="G143" s="160">
        <v>3767.9989999999998</v>
      </c>
      <c r="H143" s="160">
        <v>65000</v>
      </c>
      <c r="I143" s="157"/>
      <c r="J143" s="149">
        <v>3767.9989999999998</v>
      </c>
      <c r="K143" s="149">
        <v>80000</v>
      </c>
      <c r="L143" s="149">
        <v>80000</v>
      </c>
      <c r="M143" s="149" t="s">
        <v>586</v>
      </c>
      <c r="N143" s="166" t="s">
        <v>617</v>
      </c>
    </row>
    <row r="144" spans="2:14" ht="15.75" thickBot="1" x14ac:dyDescent="0.3">
      <c r="B144" s="148"/>
      <c r="C144" s="149">
        <v>21603006</v>
      </c>
      <c r="D144" s="149" t="s">
        <v>232</v>
      </c>
      <c r="E144" s="160">
        <v>60000</v>
      </c>
      <c r="F144" s="160">
        <v>55000</v>
      </c>
      <c r="G144" s="160">
        <v>772</v>
      </c>
      <c r="H144" s="160">
        <v>20000</v>
      </c>
      <c r="I144" s="157"/>
      <c r="J144" s="149">
        <v>772</v>
      </c>
      <c r="K144" s="149">
        <v>40000</v>
      </c>
      <c r="L144" s="149">
        <v>40000</v>
      </c>
      <c r="M144" s="149" t="s">
        <v>586</v>
      </c>
      <c r="N144" s="166" t="s">
        <v>618</v>
      </c>
    </row>
    <row r="145" spans="2:14" ht="15.75" thickBot="1" x14ac:dyDescent="0.3">
      <c r="B145" s="148"/>
      <c r="C145" s="149">
        <v>23603002</v>
      </c>
      <c r="D145" s="149" t="s">
        <v>63</v>
      </c>
      <c r="E145" s="160">
        <v>375</v>
      </c>
      <c r="F145" s="160">
        <v>375</v>
      </c>
      <c r="G145" s="160">
        <v>0</v>
      </c>
      <c r="H145" s="160">
        <v>0</v>
      </c>
      <c r="I145" s="157"/>
      <c r="J145" s="149">
        <v>0</v>
      </c>
      <c r="K145" s="149">
        <v>375</v>
      </c>
      <c r="L145" s="149">
        <v>375</v>
      </c>
      <c r="M145" s="149" t="s">
        <v>586</v>
      </c>
      <c r="N145" s="166" t="s">
        <v>618</v>
      </c>
    </row>
    <row r="146" spans="2:14" ht="15.75" thickBot="1" x14ac:dyDescent="0.3">
      <c r="B146" s="148"/>
      <c r="C146" s="149">
        <v>23606001</v>
      </c>
      <c r="D146" s="149" t="s">
        <v>66</v>
      </c>
      <c r="E146" s="160">
        <v>60000</v>
      </c>
      <c r="F146" s="160">
        <v>60000</v>
      </c>
      <c r="G146" s="160">
        <v>29543.544000000002</v>
      </c>
      <c r="H146" s="160">
        <v>0</v>
      </c>
      <c r="I146" s="157"/>
      <c r="J146" s="149">
        <v>29543.544999999998</v>
      </c>
      <c r="K146" s="149">
        <v>60000</v>
      </c>
      <c r="L146" s="149">
        <v>60000</v>
      </c>
      <c r="M146" s="149" t="s">
        <v>586</v>
      </c>
      <c r="N146" s="166" t="s">
        <v>619</v>
      </c>
    </row>
    <row r="147" spans="2:14" ht="15.75" thickBot="1" x14ac:dyDescent="0.3">
      <c r="B147" s="148"/>
      <c r="C147" s="149">
        <v>23606008</v>
      </c>
      <c r="D147" s="149" t="s">
        <v>68</v>
      </c>
      <c r="E147" s="160">
        <v>20000</v>
      </c>
      <c r="F147" s="160">
        <v>20000</v>
      </c>
      <c r="G147" s="160">
        <v>15000</v>
      </c>
      <c r="H147" s="160">
        <v>0</v>
      </c>
      <c r="I147" s="157"/>
      <c r="J147" s="149">
        <v>15000</v>
      </c>
      <c r="K147" s="149">
        <v>20000</v>
      </c>
      <c r="L147" s="149">
        <v>20000</v>
      </c>
      <c r="M147" s="149" t="s">
        <v>586</v>
      </c>
      <c r="N147" s="166" t="s">
        <v>618</v>
      </c>
    </row>
    <row r="148" spans="2:14" ht="15.75" thickBot="1" x14ac:dyDescent="0.3">
      <c r="B148" s="148"/>
      <c r="C148" s="149">
        <v>26201041</v>
      </c>
      <c r="D148" s="149" t="s">
        <v>395</v>
      </c>
      <c r="E148" s="160">
        <v>35000</v>
      </c>
      <c r="F148" s="160">
        <v>35000</v>
      </c>
      <c r="G148" s="160">
        <v>35000</v>
      </c>
      <c r="H148" s="160">
        <v>0</v>
      </c>
      <c r="I148" s="157"/>
      <c r="J148" s="149">
        <v>35000</v>
      </c>
      <c r="K148" s="149">
        <v>35000</v>
      </c>
      <c r="L148" s="149">
        <v>35000</v>
      </c>
      <c r="M148" s="149" t="s">
        <v>586</v>
      </c>
      <c r="N148" s="166" t="s">
        <v>618</v>
      </c>
    </row>
    <row r="149" spans="2:14" ht="15.75" thickBot="1" x14ac:dyDescent="0.3">
      <c r="B149" s="148"/>
      <c r="C149" s="149">
        <v>26201049</v>
      </c>
      <c r="D149" s="149" t="s">
        <v>357</v>
      </c>
      <c r="E149" s="160">
        <v>40000</v>
      </c>
      <c r="F149" s="160">
        <v>40000</v>
      </c>
      <c r="G149" s="160">
        <v>2018.4</v>
      </c>
      <c r="H149" s="160">
        <v>1981.6</v>
      </c>
      <c r="I149" s="157"/>
      <c r="J149" s="149">
        <v>2018.4</v>
      </c>
      <c r="K149" s="149">
        <v>40000</v>
      </c>
      <c r="L149" s="149">
        <v>40000</v>
      </c>
      <c r="M149" s="149" t="s">
        <v>586</v>
      </c>
      <c r="N149" s="166" t="s">
        <v>620</v>
      </c>
    </row>
    <row r="150" spans="2:14" ht="15.75" thickBot="1" x14ac:dyDescent="0.3">
      <c r="B150" s="148"/>
      <c r="C150" s="149">
        <v>26201050</v>
      </c>
      <c r="D150" s="149" t="s">
        <v>1</v>
      </c>
      <c r="E150" s="160">
        <v>70000</v>
      </c>
      <c r="F150" s="160">
        <v>69000</v>
      </c>
      <c r="G150" s="160">
        <v>50</v>
      </c>
      <c r="H150" s="160">
        <v>30000</v>
      </c>
      <c r="I150" s="157"/>
      <c r="J150" s="149">
        <v>50</v>
      </c>
      <c r="K150" s="149">
        <v>70000</v>
      </c>
      <c r="L150" s="149">
        <v>70000</v>
      </c>
      <c r="M150" s="149" t="s">
        <v>586</v>
      </c>
      <c r="N150" s="166" t="s">
        <v>621</v>
      </c>
    </row>
    <row r="151" spans="2:14" ht="15.75" thickBot="1" x14ac:dyDescent="0.3">
      <c r="B151" s="148"/>
      <c r="C151" s="149">
        <v>26202002</v>
      </c>
      <c r="D151" s="149" t="s">
        <v>3</v>
      </c>
      <c r="E151" s="160">
        <v>140000</v>
      </c>
      <c r="F151" s="160">
        <v>121000</v>
      </c>
      <c r="G151" s="160">
        <v>4621.2</v>
      </c>
      <c r="H151" s="160">
        <v>47978.8</v>
      </c>
      <c r="I151" s="157"/>
      <c r="J151" s="149">
        <v>4621.1989999999996</v>
      </c>
      <c r="K151" s="149">
        <v>40000</v>
      </c>
      <c r="L151" s="149">
        <v>40000</v>
      </c>
      <c r="M151" s="149" t="s">
        <v>586</v>
      </c>
      <c r="N151" s="166" t="s">
        <v>622</v>
      </c>
    </row>
    <row r="152" spans="2:14" ht="15.75" thickBot="1" x14ac:dyDescent="0.3">
      <c r="B152" s="148"/>
      <c r="C152" s="149">
        <v>26202003</v>
      </c>
      <c r="D152" s="149" t="s">
        <v>623</v>
      </c>
      <c r="E152" s="160">
        <v>40000</v>
      </c>
      <c r="F152" s="160">
        <v>40000</v>
      </c>
      <c r="G152" s="160">
        <v>1300</v>
      </c>
      <c r="H152" s="160">
        <v>1700</v>
      </c>
      <c r="I152" s="157"/>
      <c r="J152" s="149">
        <v>1300</v>
      </c>
      <c r="K152" s="149">
        <v>15000</v>
      </c>
      <c r="L152" s="149">
        <v>15000</v>
      </c>
      <c r="M152" s="149" t="s">
        <v>586</v>
      </c>
      <c r="N152" s="166" t="s">
        <v>624</v>
      </c>
    </row>
    <row r="153" spans="2:14" ht="15.75" thickBot="1" x14ac:dyDescent="0.3">
      <c r="B153" s="148"/>
      <c r="C153" s="149">
        <v>26301007</v>
      </c>
      <c r="D153" s="149" t="s">
        <v>625</v>
      </c>
      <c r="E153" s="160">
        <v>5000</v>
      </c>
      <c r="F153" s="160">
        <v>5000</v>
      </c>
      <c r="G153" s="160">
        <v>2499.8000000000002</v>
      </c>
      <c r="H153" s="160">
        <v>0</v>
      </c>
      <c r="I153" s="157"/>
      <c r="J153" s="149">
        <v>2499.8000000000002</v>
      </c>
      <c r="K153" s="149">
        <v>13000</v>
      </c>
      <c r="L153" s="149">
        <v>13000</v>
      </c>
      <c r="M153" s="149" t="s">
        <v>586</v>
      </c>
      <c r="N153" s="166" t="s">
        <v>626</v>
      </c>
    </row>
    <row r="154" spans="2:14" ht="15" thickBot="1" x14ac:dyDescent="0.25">
      <c r="B154" s="152"/>
      <c r="C154" s="37"/>
      <c r="D154" s="37"/>
      <c r="E154" s="159"/>
      <c r="F154" s="159"/>
      <c r="G154" s="159"/>
      <c r="H154" s="159"/>
      <c r="J154" s="37"/>
      <c r="K154" s="37"/>
      <c r="L154" s="37"/>
      <c r="M154" s="37"/>
      <c r="N154" s="163"/>
    </row>
    <row r="155" spans="2:14" ht="15.75" thickBot="1" x14ac:dyDescent="0.3">
      <c r="B155" s="148" t="s">
        <v>358</v>
      </c>
      <c r="C155" s="149">
        <v>20101001</v>
      </c>
      <c r="D155" s="149" t="s">
        <v>15</v>
      </c>
      <c r="E155" s="160">
        <v>410000</v>
      </c>
      <c r="F155" s="160">
        <v>392000</v>
      </c>
      <c r="G155" s="160">
        <v>370893.26299999998</v>
      </c>
      <c r="H155" s="160">
        <v>0</v>
      </c>
      <c r="I155" s="157"/>
      <c r="J155" s="149">
        <v>370893.25</v>
      </c>
      <c r="K155" s="149">
        <v>0</v>
      </c>
      <c r="L155" s="149">
        <v>410000</v>
      </c>
      <c r="M155" s="149" t="s">
        <v>586</v>
      </c>
      <c r="N155" s="162"/>
    </row>
    <row r="156" spans="2:14" ht="15.75" thickBot="1" x14ac:dyDescent="0.3">
      <c r="B156" s="148"/>
      <c r="C156" s="149">
        <v>20103001</v>
      </c>
      <c r="D156" s="149" t="s">
        <v>22</v>
      </c>
      <c r="E156" s="160">
        <v>80000</v>
      </c>
      <c r="F156" s="160">
        <v>66000</v>
      </c>
      <c r="G156" s="160">
        <v>52953.37</v>
      </c>
      <c r="H156" s="160">
        <v>0</v>
      </c>
      <c r="I156" s="157"/>
      <c r="J156" s="149">
        <v>52953.37</v>
      </c>
      <c r="K156" s="149">
        <v>0</v>
      </c>
      <c r="L156" s="149">
        <v>80000</v>
      </c>
      <c r="M156" s="149" t="s">
        <v>586</v>
      </c>
      <c r="N156" s="162"/>
    </row>
    <row r="157" spans="2:14" ht="15.75" thickBot="1" x14ac:dyDescent="0.3">
      <c r="B157" s="148"/>
      <c r="C157" s="149">
        <v>22601001</v>
      </c>
      <c r="D157" s="149" t="s">
        <v>243</v>
      </c>
      <c r="E157" s="160">
        <v>1000</v>
      </c>
      <c r="F157" s="160">
        <v>1000</v>
      </c>
      <c r="G157" s="160">
        <v>0</v>
      </c>
      <c r="H157" s="160">
        <v>0</v>
      </c>
      <c r="I157" s="157"/>
      <c r="J157" s="149">
        <v>0</v>
      </c>
      <c r="K157" s="149">
        <v>1000</v>
      </c>
      <c r="L157" s="149">
        <v>1000</v>
      </c>
      <c r="M157" s="149" t="s">
        <v>586</v>
      </c>
      <c r="N157" s="162"/>
    </row>
    <row r="158" spans="2:14" ht="15.75" thickBot="1" x14ac:dyDescent="0.3">
      <c r="B158" s="148"/>
      <c r="C158" s="149">
        <v>23603002</v>
      </c>
      <c r="D158" s="149" t="s">
        <v>63</v>
      </c>
      <c r="E158" s="160">
        <v>75</v>
      </c>
      <c r="F158" s="160">
        <v>75</v>
      </c>
      <c r="G158" s="160">
        <v>72.069999999999993</v>
      </c>
      <c r="H158" s="160">
        <v>0</v>
      </c>
      <c r="I158" s="157"/>
      <c r="J158" s="149">
        <v>72.069999999999993</v>
      </c>
      <c r="K158" s="149">
        <v>0</v>
      </c>
      <c r="L158" s="149">
        <v>75</v>
      </c>
      <c r="M158" s="149" t="s">
        <v>586</v>
      </c>
      <c r="N158" s="162"/>
    </row>
    <row r="159" spans="2:14" ht="15.75" thickBot="1" x14ac:dyDescent="0.3">
      <c r="B159" s="148"/>
      <c r="C159" s="149">
        <v>25603001</v>
      </c>
      <c r="D159" s="149" t="s">
        <v>449</v>
      </c>
      <c r="E159" s="160">
        <v>2000</v>
      </c>
      <c r="F159" s="160">
        <v>2000</v>
      </c>
      <c r="G159" s="160">
        <v>0</v>
      </c>
      <c r="H159" s="160">
        <v>0</v>
      </c>
      <c r="I159" s="157"/>
      <c r="J159" s="149">
        <v>0</v>
      </c>
      <c r="K159" s="149">
        <v>0</v>
      </c>
      <c r="L159" s="149">
        <v>2000</v>
      </c>
      <c r="M159" s="149" t="s">
        <v>586</v>
      </c>
      <c r="N159" s="162"/>
    </row>
    <row r="160" spans="2:14" ht="15" thickBot="1" x14ac:dyDescent="0.25">
      <c r="B160" s="152"/>
      <c r="C160" s="37"/>
      <c r="D160" s="37"/>
      <c r="E160" s="159"/>
      <c r="F160" s="159"/>
      <c r="G160" s="159"/>
      <c r="H160" s="159"/>
      <c r="J160" s="37"/>
      <c r="K160" s="37"/>
      <c r="L160" s="37"/>
      <c r="M160" s="37"/>
      <c r="N160" s="163"/>
    </row>
    <row r="161" spans="2:14" ht="30.75" thickBot="1" x14ac:dyDescent="0.3">
      <c r="B161" s="148" t="s">
        <v>627</v>
      </c>
      <c r="C161" s="149">
        <v>20103001</v>
      </c>
      <c r="D161" s="149" t="s">
        <v>22</v>
      </c>
      <c r="E161" s="160">
        <v>65000</v>
      </c>
      <c r="F161" s="160">
        <v>65000</v>
      </c>
      <c r="G161" s="160">
        <v>59065.052000000003</v>
      </c>
      <c r="H161" s="160">
        <v>0</v>
      </c>
      <c r="I161" s="157"/>
      <c r="J161" s="149">
        <v>59065.055</v>
      </c>
      <c r="K161" s="149">
        <v>0</v>
      </c>
      <c r="L161" s="149">
        <v>65000</v>
      </c>
      <c r="M161" s="149" t="s">
        <v>586</v>
      </c>
      <c r="N161" s="162"/>
    </row>
    <row r="162" spans="2:14" ht="15.75" thickBot="1" x14ac:dyDescent="0.3">
      <c r="B162" s="148"/>
      <c r="C162" s="149">
        <v>22601002</v>
      </c>
      <c r="D162" s="149" t="s">
        <v>480</v>
      </c>
      <c r="E162" s="160">
        <v>5000</v>
      </c>
      <c r="F162" s="160">
        <v>5000</v>
      </c>
      <c r="G162" s="160">
        <v>0</v>
      </c>
      <c r="H162" s="160">
        <v>0</v>
      </c>
      <c r="I162" s="157"/>
      <c r="J162" s="149">
        <v>0</v>
      </c>
      <c r="K162" s="149">
        <v>0</v>
      </c>
      <c r="L162" s="149">
        <v>1000</v>
      </c>
      <c r="M162" s="149" t="s">
        <v>586</v>
      </c>
      <c r="N162" s="162"/>
    </row>
    <row r="163" spans="2:14" ht="15.75" thickBot="1" x14ac:dyDescent="0.3">
      <c r="B163" s="148"/>
      <c r="C163" s="149">
        <v>23603002</v>
      </c>
      <c r="D163" s="149" t="s">
        <v>63</v>
      </c>
      <c r="E163" s="160">
        <v>75</v>
      </c>
      <c r="F163" s="160">
        <v>75</v>
      </c>
      <c r="G163" s="160">
        <v>75</v>
      </c>
      <c r="H163" s="160">
        <v>0</v>
      </c>
      <c r="I163" s="157"/>
      <c r="J163" s="149">
        <v>75</v>
      </c>
      <c r="K163" s="149">
        <v>0</v>
      </c>
      <c r="L163" s="149">
        <v>75</v>
      </c>
      <c r="M163" s="149" t="s">
        <v>586</v>
      </c>
      <c r="N163" s="162"/>
    </row>
    <row r="164" spans="2:14" ht="15" thickBot="1" x14ac:dyDescent="0.25">
      <c r="B164" s="152"/>
      <c r="C164" s="37"/>
      <c r="D164" s="37"/>
      <c r="E164" s="159"/>
      <c r="F164" s="159"/>
      <c r="G164" s="159"/>
      <c r="H164" s="159"/>
      <c r="J164" s="37"/>
      <c r="K164" s="37"/>
      <c r="L164" s="37"/>
      <c r="M164" s="37"/>
      <c r="N164" s="163"/>
    </row>
    <row r="165" spans="2:14" ht="30.75" thickBot="1" x14ac:dyDescent="0.3">
      <c r="B165" s="148" t="s">
        <v>628</v>
      </c>
      <c r="C165" s="149">
        <v>20103001</v>
      </c>
      <c r="D165" s="149" t="s">
        <v>22</v>
      </c>
      <c r="E165" s="160">
        <v>36000</v>
      </c>
      <c r="F165" s="160">
        <v>85000</v>
      </c>
      <c r="G165" s="160">
        <v>84658.744000000006</v>
      </c>
      <c r="H165" s="160">
        <v>0</v>
      </c>
      <c r="I165" s="157"/>
      <c r="J165" s="149">
        <v>84658.74</v>
      </c>
      <c r="K165" s="149">
        <v>0</v>
      </c>
      <c r="L165" s="149">
        <v>0</v>
      </c>
      <c r="M165" s="149" t="s">
        <v>602</v>
      </c>
      <c r="N165" s="162"/>
    </row>
    <row r="166" spans="2:14" ht="15.75" thickBot="1" x14ac:dyDescent="0.3">
      <c r="B166" s="148"/>
      <c r="C166" s="149">
        <v>23603002</v>
      </c>
      <c r="D166" s="149" t="s">
        <v>63</v>
      </c>
      <c r="E166" s="160">
        <v>175</v>
      </c>
      <c r="F166" s="160">
        <v>175</v>
      </c>
      <c r="G166" s="160">
        <v>0</v>
      </c>
      <c r="H166" s="160">
        <v>0</v>
      </c>
      <c r="I166" s="157"/>
      <c r="J166" s="149">
        <v>0</v>
      </c>
      <c r="K166" s="149">
        <v>0</v>
      </c>
      <c r="L166" s="149">
        <v>0</v>
      </c>
      <c r="M166" s="149" t="s">
        <v>602</v>
      </c>
      <c r="N166" s="162"/>
    </row>
    <row r="167" spans="2:14" ht="15" thickBot="1" x14ac:dyDescent="0.25">
      <c r="B167" s="152"/>
      <c r="C167" s="37"/>
      <c r="D167" s="37"/>
      <c r="E167" s="159"/>
      <c r="F167" s="159"/>
      <c r="G167" s="159"/>
      <c r="H167" s="159"/>
      <c r="J167" s="37"/>
      <c r="K167" s="37"/>
      <c r="L167" s="37"/>
      <c r="M167" s="37"/>
      <c r="N167" s="163"/>
    </row>
    <row r="168" spans="2:14" ht="15.75" thickBot="1" x14ac:dyDescent="0.3">
      <c r="B168" s="148" t="s">
        <v>629</v>
      </c>
      <c r="C168" s="149">
        <v>23603002</v>
      </c>
      <c r="D168" s="149" t="s">
        <v>63</v>
      </c>
      <c r="E168" s="160">
        <v>75</v>
      </c>
      <c r="F168" s="160">
        <v>75</v>
      </c>
      <c r="G168" s="160">
        <v>0</v>
      </c>
      <c r="H168" s="160">
        <v>0</v>
      </c>
      <c r="I168" s="157"/>
      <c r="J168" s="149">
        <v>0</v>
      </c>
      <c r="K168" s="149">
        <v>0</v>
      </c>
      <c r="L168" s="149">
        <v>0</v>
      </c>
      <c r="M168" s="149" t="s">
        <v>602</v>
      </c>
      <c r="N168" s="162"/>
    </row>
    <row r="169" spans="2:14" ht="15" thickBot="1" x14ac:dyDescent="0.25">
      <c r="B169" s="152"/>
      <c r="C169" s="37"/>
      <c r="D169" s="37"/>
      <c r="E169" s="159"/>
      <c r="F169" s="159"/>
      <c r="G169" s="159"/>
      <c r="H169" s="159"/>
      <c r="J169" s="37"/>
      <c r="K169" s="37"/>
      <c r="L169" s="37"/>
      <c r="M169" s="37"/>
      <c r="N169" s="163"/>
    </row>
    <row r="170" spans="2:14" ht="15.75" thickBot="1" x14ac:dyDescent="0.3">
      <c r="B170" s="148" t="s">
        <v>438</v>
      </c>
      <c r="C170" s="149">
        <v>20103001</v>
      </c>
      <c r="D170" s="149" t="s">
        <v>22</v>
      </c>
      <c r="E170" s="160">
        <v>17000</v>
      </c>
      <c r="F170" s="160">
        <v>19000</v>
      </c>
      <c r="G170" s="160">
        <v>18119.623</v>
      </c>
      <c r="H170" s="160">
        <v>0</v>
      </c>
      <c r="I170" s="157"/>
      <c r="J170" s="149">
        <v>18119.623</v>
      </c>
      <c r="K170" s="149">
        <v>0</v>
      </c>
      <c r="L170" s="149">
        <v>0</v>
      </c>
      <c r="M170" s="149" t="s">
        <v>602</v>
      </c>
      <c r="N170" s="162"/>
    </row>
    <row r="171" spans="2:14" ht="15.75" thickBot="1" x14ac:dyDescent="0.3">
      <c r="B171" s="148"/>
      <c r="C171" s="149">
        <v>23603002</v>
      </c>
      <c r="D171" s="149" t="s">
        <v>63</v>
      </c>
      <c r="E171" s="160">
        <v>75</v>
      </c>
      <c r="F171" s="160">
        <v>75</v>
      </c>
      <c r="G171" s="160">
        <v>0</v>
      </c>
      <c r="H171" s="160">
        <v>0</v>
      </c>
      <c r="I171" s="157"/>
      <c r="J171" s="149">
        <v>0</v>
      </c>
      <c r="K171" s="149">
        <v>0</v>
      </c>
      <c r="L171" s="149">
        <v>0</v>
      </c>
      <c r="M171" s="149" t="s">
        <v>602</v>
      </c>
      <c r="N171" s="162"/>
    </row>
    <row r="172" spans="2:14" ht="15" thickBot="1" x14ac:dyDescent="0.25">
      <c r="B172" s="152"/>
      <c r="C172" s="37"/>
      <c r="D172" s="37"/>
      <c r="E172" s="159"/>
      <c r="F172" s="159"/>
      <c r="G172" s="159"/>
      <c r="H172" s="159"/>
      <c r="J172" s="37"/>
      <c r="K172" s="37"/>
      <c r="L172" s="37"/>
      <c r="M172" s="37"/>
      <c r="N172" s="163"/>
    </row>
    <row r="173" spans="2:14" ht="15.75" thickBot="1" x14ac:dyDescent="0.3">
      <c r="B173" s="148" t="s">
        <v>360</v>
      </c>
      <c r="C173" s="149">
        <v>23603002</v>
      </c>
      <c r="D173" s="149" t="s">
        <v>63</v>
      </c>
      <c r="E173" s="160">
        <v>75</v>
      </c>
      <c r="F173" s="160">
        <v>75</v>
      </c>
      <c r="G173" s="160">
        <v>0</v>
      </c>
      <c r="H173" s="160">
        <v>0</v>
      </c>
      <c r="I173" s="157"/>
      <c r="J173" s="149">
        <v>0</v>
      </c>
      <c r="K173" s="149">
        <v>0</v>
      </c>
      <c r="L173" s="149">
        <v>0</v>
      </c>
      <c r="M173" s="149" t="s">
        <v>602</v>
      </c>
      <c r="N173" s="162"/>
    </row>
    <row r="174" spans="2:14" ht="15" thickBot="1" x14ac:dyDescent="0.25">
      <c r="B174" s="152"/>
      <c r="C174" s="37"/>
      <c r="D174" s="37"/>
      <c r="E174" s="159"/>
      <c r="F174" s="159"/>
      <c r="G174" s="159"/>
      <c r="H174" s="159"/>
      <c r="J174" s="37"/>
      <c r="K174" s="37"/>
      <c r="L174" s="37"/>
      <c r="M174" s="37"/>
      <c r="N174" s="163"/>
    </row>
    <row r="175" spans="2:14" ht="30.75" thickBot="1" x14ac:dyDescent="0.3">
      <c r="B175" s="148" t="s">
        <v>630</v>
      </c>
      <c r="C175" s="149">
        <v>20103001</v>
      </c>
      <c r="D175" s="149" t="s">
        <v>22</v>
      </c>
      <c r="E175" s="160">
        <v>150000</v>
      </c>
      <c r="F175" s="160">
        <v>155500</v>
      </c>
      <c r="G175" s="160">
        <v>151790.948</v>
      </c>
      <c r="H175" s="160">
        <v>0</v>
      </c>
      <c r="I175" s="157"/>
      <c r="J175" s="149">
        <v>151790.95000000001</v>
      </c>
      <c r="K175" s="149">
        <v>0</v>
      </c>
      <c r="L175" s="149">
        <v>0</v>
      </c>
      <c r="M175" s="149" t="s">
        <v>602</v>
      </c>
      <c r="N175" s="162"/>
    </row>
    <row r="176" spans="2:14" ht="15.75" thickBot="1" x14ac:dyDescent="0.3">
      <c r="B176" s="148"/>
      <c r="C176" s="149">
        <v>23603002</v>
      </c>
      <c r="D176" s="149" t="s">
        <v>63</v>
      </c>
      <c r="E176" s="160">
        <v>75</v>
      </c>
      <c r="F176" s="160">
        <v>75</v>
      </c>
      <c r="G176" s="160">
        <v>75</v>
      </c>
      <c r="H176" s="160">
        <v>0</v>
      </c>
      <c r="I176" s="157"/>
      <c r="J176" s="149">
        <v>75</v>
      </c>
      <c r="K176" s="149">
        <v>0</v>
      </c>
      <c r="L176" s="149">
        <v>0</v>
      </c>
      <c r="M176" s="149" t="s">
        <v>602</v>
      </c>
      <c r="N176" s="162"/>
    </row>
    <row r="177" spans="2:14" ht="27" thickBot="1" x14ac:dyDescent="0.3">
      <c r="B177" s="148"/>
      <c r="C177" s="149">
        <v>25601001</v>
      </c>
      <c r="D177" s="149" t="s">
        <v>595</v>
      </c>
      <c r="E177" s="160">
        <v>45000</v>
      </c>
      <c r="F177" s="160">
        <v>35000</v>
      </c>
      <c r="G177" s="160">
        <v>0</v>
      </c>
      <c r="H177" s="160">
        <v>0</v>
      </c>
      <c r="I177" s="157"/>
      <c r="J177" s="149">
        <v>0</v>
      </c>
      <c r="K177" s="149">
        <v>0</v>
      </c>
      <c r="L177" s="149">
        <v>0</v>
      </c>
      <c r="M177" s="149" t="s">
        <v>602</v>
      </c>
      <c r="N177" s="162"/>
    </row>
    <row r="178" spans="2:14" ht="15.75" thickBot="1" x14ac:dyDescent="0.3">
      <c r="B178" s="148"/>
      <c r="C178" s="149">
        <v>25602001</v>
      </c>
      <c r="D178" s="149" t="s">
        <v>596</v>
      </c>
      <c r="E178" s="160">
        <v>30000</v>
      </c>
      <c r="F178" s="160">
        <v>30000</v>
      </c>
      <c r="G178" s="160">
        <v>15588.56</v>
      </c>
      <c r="H178" s="160">
        <v>8893.1200000000008</v>
      </c>
      <c r="I178" s="157"/>
      <c r="J178" s="149">
        <v>15588.56</v>
      </c>
      <c r="K178" s="149">
        <v>0</v>
      </c>
      <c r="L178" s="149">
        <v>0</v>
      </c>
      <c r="M178" s="149" t="s">
        <v>602</v>
      </c>
      <c r="N178" s="162"/>
    </row>
    <row r="179" spans="2:14" ht="15.75" thickBot="1" x14ac:dyDescent="0.3">
      <c r="B179" s="148"/>
      <c r="C179" s="149">
        <v>25603001</v>
      </c>
      <c r="D179" s="149" t="s">
        <v>449</v>
      </c>
      <c r="E179" s="160">
        <v>30000</v>
      </c>
      <c r="F179" s="160">
        <v>30000</v>
      </c>
      <c r="G179" s="160">
        <v>3999.6790000000001</v>
      </c>
      <c r="H179" s="160">
        <v>11645</v>
      </c>
      <c r="I179" s="157"/>
      <c r="J179" s="149">
        <v>3999.6790000000001</v>
      </c>
      <c r="K179" s="149">
        <v>0</v>
      </c>
      <c r="L179" s="149">
        <v>0</v>
      </c>
      <c r="M179" s="149" t="s">
        <v>602</v>
      </c>
      <c r="N179" s="162"/>
    </row>
    <row r="180" spans="2:14" ht="15" thickBot="1" x14ac:dyDescent="0.25">
      <c r="B180" s="152"/>
      <c r="C180" s="37"/>
      <c r="D180" s="37"/>
      <c r="E180" s="159"/>
      <c r="F180" s="159"/>
      <c r="G180" s="159"/>
      <c r="H180" s="159"/>
      <c r="J180" s="37"/>
      <c r="K180" s="37"/>
      <c r="L180" s="37"/>
      <c r="M180" s="37"/>
      <c r="N180" s="163"/>
    </row>
    <row r="181" spans="2:14" ht="15.75" thickBot="1" x14ac:dyDescent="0.3">
      <c r="B181" s="148" t="s">
        <v>361</v>
      </c>
      <c r="C181" s="149">
        <v>20103001</v>
      </c>
      <c r="D181" s="149" t="s">
        <v>22</v>
      </c>
      <c r="E181" s="160">
        <v>10000</v>
      </c>
      <c r="F181" s="160">
        <v>10000</v>
      </c>
      <c r="G181" s="160">
        <v>0</v>
      </c>
      <c r="H181" s="160">
        <v>0</v>
      </c>
      <c r="I181" s="157"/>
      <c r="J181" s="149">
        <v>0</v>
      </c>
      <c r="K181" s="149">
        <v>0</v>
      </c>
      <c r="L181" s="149">
        <v>0</v>
      </c>
      <c r="M181" s="149" t="s">
        <v>602</v>
      </c>
      <c r="N181" s="162"/>
    </row>
    <row r="182" spans="2:14" ht="15.75" thickBot="1" x14ac:dyDescent="0.3">
      <c r="B182" s="148"/>
      <c r="C182" s="149">
        <v>23603002</v>
      </c>
      <c r="D182" s="149" t="s">
        <v>63</v>
      </c>
      <c r="E182" s="160">
        <v>75</v>
      </c>
      <c r="F182" s="160">
        <v>75</v>
      </c>
      <c r="G182" s="160">
        <v>0</v>
      </c>
      <c r="H182" s="160">
        <v>0</v>
      </c>
      <c r="I182" s="157"/>
      <c r="J182" s="149">
        <v>0</v>
      </c>
      <c r="K182" s="149">
        <v>0</v>
      </c>
      <c r="L182" s="149">
        <v>0</v>
      </c>
      <c r="M182" s="149" t="s">
        <v>602</v>
      </c>
      <c r="N182" s="162"/>
    </row>
    <row r="183" spans="2:14" ht="15" thickBot="1" x14ac:dyDescent="0.25">
      <c r="B183" s="152"/>
      <c r="C183" s="37"/>
      <c r="D183" s="37"/>
      <c r="E183" s="159"/>
      <c r="F183" s="159"/>
      <c r="G183" s="159"/>
      <c r="H183" s="159"/>
      <c r="J183" s="37"/>
      <c r="K183" s="37"/>
      <c r="L183" s="37"/>
      <c r="M183" s="37"/>
      <c r="N183" s="163"/>
    </row>
    <row r="184" spans="2:14" ht="15.75" thickBot="1" x14ac:dyDescent="0.3">
      <c r="B184" s="148" t="s">
        <v>362</v>
      </c>
      <c r="C184" s="149">
        <v>20103001</v>
      </c>
      <c r="D184" s="149" t="s">
        <v>22</v>
      </c>
      <c r="E184" s="160">
        <v>16000</v>
      </c>
      <c r="F184" s="160">
        <v>16000</v>
      </c>
      <c r="G184" s="160">
        <v>12342.535</v>
      </c>
      <c r="H184" s="160">
        <v>0</v>
      </c>
      <c r="I184" s="157"/>
      <c r="J184" s="149">
        <v>12342.535</v>
      </c>
      <c r="K184" s="149">
        <v>0</v>
      </c>
      <c r="L184" s="149">
        <v>0</v>
      </c>
      <c r="M184" s="149" t="s">
        <v>602</v>
      </c>
      <c r="N184" s="162"/>
    </row>
    <row r="185" spans="2:14" ht="15.75" thickBot="1" x14ac:dyDescent="0.3">
      <c r="B185" s="148"/>
      <c r="C185" s="149">
        <v>23603002</v>
      </c>
      <c r="D185" s="149" t="s">
        <v>63</v>
      </c>
      <c r="E185" s="160">
        <v>75</v>
      </c>
      <c r="F185" s="160">
        <v>75</v>
      </c>
      <c r="G185" s="160">
        <v>0</v>
      </c>
      <c r="H185" s="160">
        <v>0</v>
      </c>
      <c r="I185" s="157"/>
      <c r="J185" s="149">
        <v>0</v>
      </c>
      <c r="K185" s="149">
        <v>0</v>
      </c>
      <c r="L185" s="149">
        <v>0</v>
      </c>
      <c r="M185" s="149" t="s">
        <v>602</v>
      </c>
      <c r="N185" s="162"/>
    </row>
    <row r="186" spans="2:14" ht="15" thickBot="1" x14ac:dyDescent="0.25">
      <c r="B186" s="152"/>
      <c r="C186" s="37"/>
      <c r="D186" s="37"/>
      <c r="E186" s="159"/>
      <c r="F186" s="159"/>
      <c r="G186" s="159"/>
      <c r="H186" s="159"/>
      <c r="J186" s="37"/>
      <c r="K186" s="37"/>
      <c r="L186" s="37"/>
      <c r="M186" s="37"/>
      <c r="N186" s="163"/>
    </row>
    <row r="187" spans="2:14" ht="15.75" thickBot="1" x14ac:dyDescent="0.3">
      <c r="B187" s="148" t="s">
        <v>631</v>
      </c>
      <c r="C187" s="153">
        <v>1</v>
      </c>
      <c r="D187" s="154"/>
      <c r="E187" s="159">
        <v>0</v>
      </c>
      <c r="F187" s="159">
        <v>0</v>
      </c>
      <c r="G187" s="159">
        <v>0</v>
      </c>
      <c r="H187" s="159">
        <v>0</v>
      </c>
      <c r="I187" s="157"/>
      <c r="J187" s="153">
        <v>0</v>
      </c>
      <c r="K187" s="153">
        <v>0</v>
      </c>
      <c r="L187" s="153">
        <v>0</v>
      </c>
      <c r="M187" s="153" t="s">
        <v>602</v>
      </c>
      <c r="N187" s="164"/>
    </row>
    <row r="188" spans="2:14" ht="15.75" thickBot="1" x14ac:dyDescent="0.3">
      <c r="B188" s="148"/>
      <c r="C188" s="153">
        <v>2</v>
      </c>
      <c r="D188" s="153" t="s">
        <v>632</v>
      </c>
      <c r="E188" s="159">
        <v>0</v>
      </c>
      <c r="F188" s="159">
        <v>0</v>
      </c>
      <c r="G188" s="159">
        <v>0</v>
      </c>
      <c r="H188" s="159">
        <v>0</v>
      </c>
      <c r="I188" s="157"/>
      <c r="J188" s="153">
        <v>0</v>
      </c>
      <c r="K188" s="153">
        <v>60000</v>
      </c>
      <c r="L188" s="153">
        <v>60000</v>
      </c>
      <c r="M188" s="153" t="s">
        <v>586</v>
      </c>
      <c r="N188" s="165" t="s">
        <v>633</v>
      </c>
    </row>
    <row r="189" spans="2:14" ht="15.75" thickBot="1" x14ac:dyDescent="0.3">
      <c r="B189" s="148"/>
      <c r="C189" s="153">
        <v>3</v>
      </c>
      <c r="D189" s="153" t="s">
        <v>634</v>
      </c>
      <c r="E189" s="159">
        <v>0</v>
      </c>
      <c r="F189" s="159">
        <v>0</v>
      </c>
      <c r="G189" s="159">
        <v>0</v>
      </c>
      <c r="H189" s="159">
        <v>0</v>
      </c>
      <c r="I189" s="157"/>
      <c r="J189" s="153">
        <v>0</v>
      </c>
      <c r="K189" s="153">
        <v>10000</v>
      </c>
      <c r="L189" s="153">
        <v>10000</v>
      </c>
      <c r="M189" s="153" t="s">
        <v>586</v>
      </c>
      <c r="N189" s="164"/>
    </row>
    <row r="190" spans="2:14" ht="27" thickBot="1" x14ac:dyDescent="0.3">
      <c r="B190" s="148"/>
      <c r="C190" s="153">
        <v>4</v>
      </c>
      <c r="D190" s="153" t="s">
        <v>635</v>
      </c>
      <c r="E190" s="159">
        <v>0</v>
      </c>
      <c r="F190" s="159">
        <v>0</v>
      </c>
      <c r="G190" s="159">
        <v>0</v>
      </c>
      <c r="H190" s="159">
        <v>0</v>
      </c>
      <c r="I190" s="157"/>
      <c r="J190" s="153">
        <v>0</v>
      </c>
      <c r="K190" s="153">
        <v>30000</v>
      </c>
      <c r="L190" s="153">
        <v>30000</v>
      </c>
      <c r="M190" s="153" t="s">
        <v>586</v>
      </c>
      <c r="N190" s="164"/>
    </row>
    <row r="191" spans="2:14" ht="15.75" thickBot="1" x14ac:dyDescent="0.3">
      <c r="B191" s="148"/>
      <c r="C191" s="153">
        <v>5</v>
      </c>
      <c r="D191" s="153" t="s">
        <v>636</v>
      </c>
      <c r="E191" s="159">
        <v>0</v>
      </c>
      <c r="F191" s="159">
        <v>0</v>
      </c>
      <c r="G191" s="159">
        <v>0</v>
      </c>
      <c r="H191" s="159">
        <v>0</v>
      </c>
      <c r="I191" s="157"/>
      <c r="J191" s="153">
        <v>0</v>
      </c>
      <c r="K191" s="153">
        <v>5000</v>
      </c>
      <c r="L191" s="153">
        <v>5000</v>
      </c>
      <c r="M191" s="153" t="s">
        <v>586</v>
      </c>
      <c r="N191" s="164"/>
    </row>
    <row r="192" spans="2:14" ht="15" thickBot="1" x14ac:dyDescent="0.25">
      <c r="B192" s="152"/>
      <c r="C192" s="37"/>
      <c r="D192" s="37"/>
      <c r="E192" s="159"/>
      <c r="F192" s="159"/>
      <c r="G192" s="159"/>
      <c r="H192" s="159"/>
      <c r="J192" s="37"/>
      <c r="K192" s="37"/>
      <c r="L192" s="37"/>
      <c r="M192" s="37"/>
      <c r="N192" s="163"/>
    </row>
    <row r="193" spans="2:14" ht="15.75" thickBot="1" x14ac:dyDescent="0.3">
      <c r="B193" s="148" t="s">
        <v>637</v>
      </c>
      <c r="C193" s="153">
        <v>1</v>
      </c>
      <c r="D193" s="154"/>
      <c r="E193" s="159">
        <v>0</v>
      </c>
      <c r="F193" s="159">
        <v>0</v>
      </c>
      <c r="G193" s="159">
        <v>0</v>
      </c>
      <c r="H193" s="159">
        <v>0</v>
      </c>
      <c r="I193" s="157"/>
      <c r="J193" s="153">
        <v>0</v>
      </c>
      <c r="K193" s="153">
        <v>0</v>
      </c>
      <c r="L193" s="153">
        <v>0</v>
      </c>
      <c r="M193" s="153" t="s">
        <v>602</v>
      </c>
      <c r="N193" s="164"/>
    </row>
    <row r="194" spans="2:14" ht="15.75" thickBot="1" x14ac:dyDescent="0.3">
      <c r="B194" s="148"/>
      <c r="C194" s="153">
        <v>2</v>
      </c>
      <c r="D194" s="153" t="s">
        <v>638</v>
      </c>
      <c r="E194" s="159">
        <v>0</v>
      </c>
      <c r="F194" s="159">
        <v>0</v>
      </c>
      <c r="G194" s="159">
        <v>0</v>
      </c>
      <c r="H194" s="159">
        <v>0</v>
      </c>
      <c r="I194" s="157"/>
      <c r="J194" s="153">
        <v>0</v>
      </c>
      <c r="K194" s="153">
        <v>75</v>
      </c>
      <c r="L194" s="153">
        <v>75</v>
      </c>
      <c r="M194" s="153" t="s">
        <v>586</v>
      </c>
      <c r="N194" s="164"/>
    </row>
    <row r="195" spans="2:14" ht="15.75" thickBot="1" x14ac:dyDescent="0.3">
      <c r="B195" s="148"/>
      <c r="C195" s="153">
        <v>3</v>
      </c>
      <c r="D195" s="153" t="s">
        <v>639</v>
      </c>
      <c r="E195" s="159">
        <v>0</v>
      </c>
      <c r="F195" s="159">
        <v>0</v>
      </c>
      <c r="G195" s="159">
        <v>0</v>
      </c>
      <c r="H195" s="159">
        <v>0</v>
      </c>
      <c r="I195" s="157"/>
      <c r="J195" s="153">
        <v>0</v>
      </c>
      <c r="K195" s="153">
        <v>1500</v>
      </c>
      <c r="L195" s="153">
        <v>1500</v>
      </c>
      <c r="M195" s="153" t="s">
        <v>586</v>
      </c>
      <c r="N195" s="164"/>
    </row>
    <row r="196" spans="2:14" ht="15" thickBot="1" x14ac:dyDescent="0.25">
      <c r="B196" s="152"/>
      <c r="C196" s="37"/>
      <c r="D196" s="37"/>
      <c r="E196" s="159"/>
      <c r="F196" s="159"/>
      <c r="G196" s="159"/>
      <c r="H196" s="159"/>
      <c r="J196" s="37"/>
      <c r="K196" s="37"/>
      <c r="L196" s="37"/>
      <c r="M196" s="37"/>
      <c r="N196" s="163"/>
    </row>
    <row r="197" spans="2:14" ht="15.75" thickBot="1" x14ac:dyDescent="0.3">
      <c r="B197" s="148" t="s">
        <v>640</v>
      </c>
      <c r="C197" s="153">
        <v>1</v>
      </c>
      <c r="D197" s="154"/>
      <c r="E197" s="159">
        <v>0</v>
      </c>
      <c r="F197" s="159">
        <v>0</v>
      </c>
      <c r="G197" s="159">
        <v>0</v>
      </c>
      <c r="H197" s="159">
        <v>0</v>
      </c>
      <c r="I197" s="157"/>
      <c r="J197" s="153">
        <v>0</v>
      </c>
      <c r="K197" s="153">
        <v>0</v>
      </c>
      <c r="L197" s="153">
        <v>0</v>
      </c>
      <c r="M197" s="153" t="s">
        <v>602</v>
      </c>
      <c r="N197" s="164"/>
    </row>
    <row r="198" spans="2:14" ht="15.75" thickBot="1" x14ac:dyDescent="0.3">
      <c r="B198" s="148"/>
      <c r="C198" s="153">
        <v>2</v>
      </c>
      <c r="D198" s="153" t="s">
        <v>641</v>
      </c>
      <c r="E198" s="159">
        <v>0</v>
      </c>
      <c r="F198" s="159">
        <v>0</v>
      </c>
      <c r="G198" s="159">
        <v>0</v>
      </c>
      <c r="H198" s="159">
        <v>0</v>
      </c>
      <c r="I198" s="157"/>
      <c r="J198" s="153">
        <v>0</v>
      </c>
      <c r="K198" s="153">
        <v>200000</v>
      </c>
      <c r="L198" s="153">
        <v>200000</v>
      </c>
      <c r="M198" s="153" t="s">
        <v>586</v>
      </c>
      <c r="N198" s="165" t="s">
        <v>642</v>
      </c>
    </row>
    <row r="199" spans="2:14" ht="15.75" thickBot="1" x14ac:dyDescent="0.3">
      <c r="B199" s="148"/>
      <c r="C199" s="153">
        <v>3</v>
      </c>
      <c r="D199" s="153" t="s">
        <v>643</v>
      </c>
      <c r="E199" s="159">
        <v>0</v>
      </c>
      <c r="F199" s="159">
        <v>0</v>
      </c>
      <c r="G199" s="159">
        <v>0</v>
      </c>
      <c r="H199" s="159">
        <v>0</v>
      </c>
      <c r="I199" s="157"/>
      <c r="J199" s="153">
        <v>0</v>
      </c>
      <c r="K199" s="153">
        <v>10000</v>
      </c>
      <c r="L199" s="153">
        <v>10000</v>
      </c>
      <c r="M199" s="153" t="s">
        <v>586</v>
      </c>
      <c r="N199" s="164"/>
    </row>
    <row r="200" spans="2:14" ht="15.75" thickBot="1" x14ac:dyDescent="0.3">
      <c r="B200" s="148"/>
      <c r="C200" s="153">
        <v>4</v>
      </c>
      <c r="D200" s="153" t="s">
        <v>644</v>
      </c>
      <c r="E200" s="159">
        <v>0</v>
      </c>
      <c r="F200" s="159">
        <v>0</v>
      </c>
      <c r="G200" s="159">
        <v>0</v>
      </c>
      <c r="H200" s="159">
        <v>0</v>
      </c>
      <c r="I200" s="157"/>
      <c r="J200" s="153">
        <v>0</v>
      </c>
      <c r="K200" s="153">
        <v>100</v>
      </c>
      <c r="L200" s="153">
        <v>300</v>
      </c>
      <c r="M200" s="153" t="s">
        <v>586</v>
      </c>
      <c r="N200" s="164"/>
    </row>
    <row r="201" spans="2:14" ht="15" thickBot="1" x14ac:dyDescent="0.25">
      <c r="B201" s="152"/>
      <c r="C201" s="37"/>
      <c r="D201" s="37"/>
      <c r="E201" s="159"/>
      <c r="F201" s="159"/>
      <c r="G201" s="159"/>
      <c r="H201" s="159"/>
      <c r="J201" s="37"/>
      <c r="K201" s="37"/>
      <c r="L201" s="37"/>
      <c r="M201" s="37"/>
      <c r="N201" s="163"/>
    </row>
    <row r="202" spans="2:14" ht="30.75" thickBot="1" x14ac:dyDescent="0.3">
      <c r="B202" s="148" t="s">
        <v>645</v>
      </c>
      <c r="C202" s="153">
        <v>1</v>
      </c>
      <c r="D202" s="154"/>
      <c r="E202" s="159">
        <v>0</v>
      </c>
      <c r="F202" s="159">
        <v>0</v>
      </c>
      <c r="G202" s="159">
        <v>0</v>
      </c>
      <c r="H202" s="159">
        <v>0</v>
      </c>
      <c r="I202" s="157"/>
      <c r="J202" s="153">
        <v>0</v>
      </c>
      <c r="K202" s="153">
        <v>5000</v>
      </c>
      <c r="L202" s="153">
        <v>5000</v>
      </c>
      <c r="M202" s="153" t="s">
        <v>586</v>
      </c>
      <c r="N202" s="164"/>
    </row>
    <row r="203" spans="2:14" ht="15" thickBot="1" x14ac:dyDescent="0.25">
      <c r="B203" s="152"/>
      <c r="C203" s="37"/>
      <c r="D203" s="37"/>
      <c r="E203" s="159"/>
      <c r="F203" s="159"/>
      <c r="G203" s="159"/>
      <c r="H203" s="159"/>
      <c r="J203" s="37"/>
      <c r="K203" s="37"/>
      <c r="L203" s="37"/>
      <c r="M203" s="37"/>
      <c r="N203" s="163"/>
    </row>
    <row r="204" spans="2:14" ht="30.75" thickBot="1" x14ac:dyDescent="0.3">
      <c r="B204" s="148" t="s">
        <v>646</v>
      </c>
      <c r="C204" s="153">
        <v>1</v>
      </c>
      <c r="D204" s="154"/>
      <c r="E204" s="159">
        <v>0</v>
      </c>
      <c r="F204" s="159">
        <v>0</v>
      </c>
      <c r="G204" s="159">
        <v>0</v>
      </c>
      <c r="H204" s="159">
        <v>0</v>
      </c>
      <c r="I204" s="157"/>
      <c r="J204" s="153">
        <v>0</v>
      </c>
      <c r="K204" s="153">
        <v>0</v>
      </c>
      <c r="L204" s="153">
        <v>0</v>
      </c>
      <c r="M204" s="153" t="s">
        <v>602</v>
      </c>
      <c r="N204" s="164"/>
    </row>
    <row r="205" spans="2:14" ht="15.75" thickBot="1" x14ac:dyDescent="0.3">
      <c r="B205" s="148"/>
      <c r="C205" s="153">
        <v>2</v>
      </c>
      <c r="D205" s="153" t="s">
        <v>647</v>
      </c>
      <c r="E205" s="159">
        <v>0</v>
      </c>
      <c r="F205" s="159">
        <v>0</v>
      </c>
      <c r="G205" s="159">
        <v>0</v>
      </c>
      <c r="H205" s="159">
        <v>0</v>
      </c>
      <c r="I205" s="157"/>
      <c r="J205" s="153">
        <v>0</v>
      </c>
      <c r="K205" s="153">
        <v>4000</v>
      </c>
      <c r="L205" s="153">
        <v>4000</v>
      </c>
      <c r="M205" s="153" t="s">
        <v>586</v>
      </c>
      <c r="N205" s="164"/>
    </row>
    <row r="206" spans="2:14" ht="15.75" thickBot="1" x14ac:dyDescent="0.3">
      <c r="B206" s="148"/>
      <c r="C206" s="153">
        <v>3</v>
      </c>
      <c r="D206" s="153" t="s">
        <v>648</v>
      </c>
      <c r="E206" s="159">
        <v>0</v>
      </c>
      <c r="F206" s="159">
        <v>0</v>
      </c>
      <c r="G206" s="159">
        <v>0</v>
      </c>
      <c r="H206" s="159">
        <v>0</v>
      </c>
      <c r="I206" s="157"/>
      <c r="J206" s="153">
        <v>0</v>
      </c>
      <c r="K206" s="153">
        <v>40000</v>
      </c>
      <c r="L206" s="153">
        <v>40000</v>
      </c>
      <c r="M206" s="153" t="s">
        <v>586</v>
      </c>
      <c r="N206" s="164"/>
    </row>
    <row r="207" spans="2:14" ht="15.75" thickBot="1" x14ac:dyDescent="0.3">
      <c r="B207" s="148"/>
      <c r="C207" s="153">
        <v>4</v>
      </c>
      <c r="D207" s="153" t="s">
        <v>649</v>
      </c>
      <c r="E207" s="159">
        <v>0</v>
      </c>
      <c r="F207" s="159">
        <v>0</v>
      </c>
      <c r="G207" s="159">
        <v>0</v>
      </c>
      <c r="H207" s="159">
        <v>0</v>
      </c>
      <c r="I207" s="157"/>
      <c r="J207" s="153">
        <v>0</v>
      </c>
      <c r="K207" s="153">
        <v>40000</v>
      </c>
      <c r="L207" s="153">
        <v>40000</v>
      </c>
      <c r="M207" s="153" t="s">
        <v>586</v>
      </c>
      <c r="N207" s="164"/>
    </row>
    <row r="208" spans="2:14" ht="15.75" thickBot="1" x14ac:dyDescent="0.3">
      <c r="B208" s="148"/>
      <c r="C208" s="153">
        <v>5</v>
      </c>
      <c r="D208" s="153" t="s">
        <v>650</v>
      </c>
      <c r="E208" s="159">
        <v>0</v>
      </c>
      <c r="F208" s="159">
        <v>0</v>
      </c>
      <c r="G208" s="159">
        <v>0</v>
      </c>
      <c r="H208" s="159">
        <v>0</v>
      </c>
      <c r="I208" s="157"/>
      <c r="J208" s="153">
        <v>0</v>
      </c>
      <c r="K208" s="153">
        <v>120000</v>
      </c>
      <c r="L208" s="153">
        <v>120000</v>
      </c>
      <c r="M208" s="153" t="s">
        <v>586</v>
      </c>
      <c r="N208" s="165" t="s">
        <v>651</v>
      </c>
    </row>
    <row r="209" spans="2:14" ht="15.75" thickBot="1" x14ac:dyDescent="0.3">
      <c r="B209" s="148"/>
      <c r="C209" s="153">
        <v>6</v>
      </c>
      <c r="D209" s="153" t="s">
        <v>652</v>
      </c>
      <c r="E209" s="159">
        <v>0</v>
      </c>
      <c r="F209" s="159">
        <v>0</v>
      </c>
      <c r="G209" s="159">
        <v>0</v>
      </c>
      <c r="H209" s="159">
        <v>0</v>
      </c>
      <c r="I209" s="157"/>
      <c r="J209" s="153">
        <v>0</v>
      </c>
      <c r="K209" s="153">
        <v>6000</v>
      </c>
      <c r="L209" s="153">
        <v>6000</v>
      </c>
      <c r="M209" s="153" t="s">
        <v>586</v>
      </c>
      <c r="N209" s="164"/>
    </row>
    <row r="210" spans="2:14" ht="15" thickBot="1" x14ac:dyDescent="0.25">
      <c r="B210" s="152"/>
      <c r="C210" s="37"/>
      <c r="D210" s="37"/>
      <c r="E210" s="159"/>
      <c r="F210" s="159"/>
      <c r="G210" s="159"/>
      <c r="H210" s="159"/>
      <c r="J210" s="37"/>
      <c r="K210" s="37"/>
      <c r="L210" s="37"/>
      <c r="M210" s="37"/>
      <c r="N210" s="163"/>
    </row>
    <row r="211" spans="2:14" ht="15.75" thickBot="1" x14ac:dyDescent="0.3">
      <c r="B211" s="148" t="s">
        <v>653</v>
      </c>
      <c r="C211" s="153">
        <v>1</v>
      </c>
      <c r="D211" s="153" t="s">
        <v>654</v>
      </c>
      <c r="E211" s="159">
        <v>0</v>
      </c>
      <c r="F211" s="159">
        <v>0</v>
      </c>
      <c r="G211" s="159">
        <v>0</v>
      </c>
      <c r="H211" s="159">
        <v>0</v>
      </c>
      <c r="I211" s="157"/>
      <c r="J211" s="153">
        <v>0</v>
      </c>
      <c r="K211" s="153">
        <v>5000</v>
      </c>
      <c r="L211" s="153">
        <v>0</v>
      </c>
      <c r="M211" s="153" t="s">
        <v>586</v>
      </c>
      <c r="N211" s="164"/>
    </row>
    <row r="212" spans="2:14" ht="15.75" thickBot="1" x14ac:dyDescent="0.3">
      <c r="B212" s="148"/>
      <c r="C212" s="153">
        <v>2</v>
      </c>
      <c r="D212" s="153" t="s">
        <v>655</v>
      </c>
      <c r="E212" s="159">
        <v>0</v>
      </c>
      <c r="F212" s="159">
        <v>0</v>
      </c>
      <c r="G212" s="159">
        <v>0</v>
      </c>
      <c r="H212" s="159">
        <v>0</v>
      </c>
      <c r="I212" s="157"/>
      <c r="J212" s="153">
        <v>0</v>
      </c>
      <c r="K212" s="153">
        <v>5000</v>
      </c>
      <c r="L212" s="153">
        <v>0</v>
      </c>
      <c r="M212" s="153" t="s">
        <v>586</v>
      </c>
      <c r="N212" s="164"/>
    </row>
    <row r="213" spans="2:14" ht="15.75" thickBot="1" x14ac:dyDescent="0.3">
      <c r="B213" s="148"/>
      <c r="C213" s="153">
        <v>3</v>
      </c>
      <c r="D213" s="153" t="s">
        <v>656</v>
      </c>
      <c r="E213" s="159">
        <v>0</v>
      </c>
      <c r="F213" s="159">
        <v>0</v>
      </c>
      <c r="G213" s="159">
        <v>0</v>
      </c>
      <c r="H213" s="159">
        <v>0</v>
      </c>
      <c r="I213" s="157"/>
      <c r="J213" s="153">
        <v>0</v>
      </c>
      <c r="K213" s="153">
        <v>20000</v>
      </c>
      <c r="L213" s="153">
        <v>0</v>
      </c>
      <c r="M213" s="153" t="s">
        <v>586</v>
      </c>
      <c r="N213" s="164"/>
    </row>
    <row r="214" spans="2:14" ht="15.75" thickBot="1" x14ac:dyDescent="0.3">
      <c r="B214" s="148"/>
      <c r="C214" s="153">
        <v>4</v>
      </c>
      <c r="D214" s="153" t="s">
        <v>657</v>
      </c>
      <c r="E214" s="159">
        <v>0</v>
      </c>
      <c r="F214" s="159">
        <v>0</v>
      </c>
      <c r="G214" s="159">
        <v>0</v>
      </c>
      <c r="H214" s="159">
        <v>0</v>
      </c>
      <c r="I214" s="157"/>
      <c r="J214" s="153">
        <v>0</v>
      </c>
      <c r="K214" s="153">
        <v>1000</v>
      </c>
      <c r="L214" s="153">
        <v>0</v>
      </c>
      <c r="M214" s="153" t="s">
        <v>586</v>
      </c>
      <c r="N214" s="164"/>
    </row>
    <row r="215" spans="2:14" ht="27" thickBot="1" x14ac:dyDescent="0.3">
      <c r="B215" s="148"/>
      <c r="C215" s="153">
        <v>5</v>
      </c>
      <c r="D215" s="153" t="s">
        <v>658</v>
      </c>
      <c r="E215" s="159">
        <v>0</v>
      </c>
      <c r="F215" s="159">
        <v>0</v>
      </c>
      <c r="G215" s="159">
        <v>0</v>
      </c>
      <c r="H215" s="159">
        <v>0</v>
      </c>
      <c r="I215" s="157"/>
      <c r="J215" s="153">
        <v>0</v>
      </c>
      <c r="K215" s="153">
        <v>1000</v>
      </c>
      <c r="L215" s="153">
        <v>0</v>
      </c>
      <c r="M215" s="153" t="s">
        <v>586</v>
      </c>
      <c r="N215" s="164"/>
    </row>
    <row r="216" spans="2:14" ht="27" thickBot="1" x14ac:dyDescent="0.3">
      <c r="B216" s="148"/>
      <c r="C216" s="153">
        <v>6</v>
      </c>
      <c r="D216" s="153" t="s">
        <v>659</v>
      </c>
      <c r="E216" s="159">
        <v>0</v>
      </c>
      <c r="F216" s="159">
        <v>0</v>
      </c>
      <c r="G216" s="159">
        <v>0</v>
      </c>
      <c r="H216" s="159">
        <v>0</v>
      </c>
      <c r="I216" s="157"/>
      <c r="J216" s="153">
        <v>0</v>
      </c>
      <c r="K216" s="153">
        <v>4000</v>
      </c>
      <c r="L216" s="153">
        <v>0</v>
      </c>
      <c r="M216" s="153" t="s">
        <v>586</v>
      </c>
      <c r="N216" s="164"/>
    </row>
    <row r="217" spans="2:14" ht="15.75" thickBot="1" x14ac:dyDescent="0.3">
      <c r="B217" s="148"/>
      <c r="C217" s="153">
        <v>7</v>
      </c>
      <c r="D217" s="153" t="s">
        <v>660</v>
      </c>
      <c r="E217" s="159">
        <v>0</v>
      </c>
      <c r="F217" s="159">
        <v>0</v>
      </c>
      <c r="G217" s="159">
        <v>0</v>
      </c>
      <c r="H217" s="159">
        <v>0</v>
      </c>
      <c r="I217" s="157"/>
      <c r="J217" s="153">
        <v>0</v>
      </c>
      <c r="K217" s="153">
        <v>30000</v>
      </c>
      <c r="L217" s="153">
        <v>0</v>
      </c>
      <c r="M217" s="153" t="s">
        <v>586</v>
      </c>
      <c r="N217" s="164"/>
    </row>
    <row r="218" spans="2:14" ht="15.75" thickBot="1" x14ac:dyDescent="0.3">
      <c r="B218" s="148"/>
      <c r="C218" s="153">
        <v>8</v>
      </c>
      <c r="D218" s="153" t="s">
        <v>661</v>
      </c>
      <c r="E218" s="159">
        <v>0</v>
      </c>
      <c r="F218" s="159">
        <v>0</v>
      </c>
      <c r="G218" s="159">
        <v>0</v>
      </c>
      <c r="H218" s="159">
        <v>0</v>
      </c>
      <c r="I218" s="157"/>
      <c r="J218" s="153">
        <v>0</v>
      </c>
      <c r="K218" s="153">
        <v>10000</v>
      </c>
      <c r="L218" s="153">
        <v>0</v>
      </c>
      <c r="M218" s="153" t="s">
        <v>586</v>
      </c>
      <c r="N218" s="164"/>
    </row>
    <row r="219" spans="2:14" ht="15.75" thickBot="1" x14ac:dyDescent="0.3">
      <c r="B219" s="148"/>
      <c r="C219" s="153">
        <v>9</v>
      </c>
      <c r="D219" s="153" t="s">
        <v>662</v>
      </c>
      <c r="E219" s="159">
        <v>0</v>
      </c>
      <c r="F219" s="159">
        <v>0</v>
      </c>
      <c r="G219" s="159">
        <v>0</v>
      </c>
      <c r="H219" s="159">
        <v>0</v>
      </c>
      <c r="I219" s="157"/>
      <c r="J219" s="153">
        <v>0</v>
      </c>
      <c r="K219" s="153">
        <v>3000</v>
      </c>
      <c r="L219" s="153">
        <v>0</v>
      </c>
      <c r="M219" s="153" t="s">
        <v>586</v>
      </c>
      <c r="N219" s="164"/>
    </row>
    <row r="220" spans="2:14" ht="15.75" thickBot="1" x14ac:dyDescent="0.3">
      <c r="B220" s="148"/>
      <c r="C220" s="149">
        <v>20103001</v>
      </c>
      <c r="D220" s="149" t="s">
        <v>22</v>
      </c>
      <c r="E220" s="160">
        <v>995000</v>
      </c>
      <c r="F220" s="160">
        <v>965000</v>
      </c>
      <c r="G220" s="160">
        <v>930072.41</v>
      </c>
      <c r="H220" s="160">
        <v>0</v>
      </c>
      <c r="I220" s="157"/>
      <c r="J220" s="149">
        <v>930072.44</v>
      </c>
      <c r="K220" s="149">
        <v>0</v>
      </c>
      <c r="L220" s="149">
        <v>995000</v>
      </c>
      <c r="M220" s="149" t="s">
        <v>586</v>
      </c>
      <c r="N220" s="162"/>
    </row>
    <row r="221" spans="2:14" ht="15.75" thickBot="1" x14ac:dyDescent="0.3">
      <c r="B221" s="148"/>
      <c r="C221" s="149">
        <v>20117003</v>
      </c>
      <c r="D221" s="149" t="s">
        <v>32</v>
      </c>
      <c r="E221" s="160">
        <v>150000</v>
      </c>
      <c r="F221" s="160">
        <v>140000</v>
      </c>
      <c r="G221" s="160">
        <v>97629.79</v>
      </c>
      <c r="H221" s="160">
        <v>0</v>
      </c>
      <c r="I221" s="157"/>
      <c r="J221" s="149">
        <v>97629.79</v>
      </c>
      <c r="K221" s="149">
        <v>150000</v>
      </c>
      <c r="L221" s="149">
        <v>150000</v>
      </c>
      <c r="M221" s="149" t="s">
        <v>586</v>
      </c>
      <c r="N221" s="162"/>
    </row>
    <row r="222" spans="2:14" ht="15.75" thickBot="1" x14ac:dyDescent="0.3">
      <c r="B222" s="148"/>
      <c r="C222" s="149">
        <v>21604004</v>
      </c>
      <c r="D222" s="149" t="s">
        <v>235</v>
      </c>
      <c r="E222" s="160">
        <v>5000</v>
      </c>
      <c r="F222" s="160">
        <v>5000</v>
      </c>
      <c r="G222" s="160">
        <v>0</v>
      </c>
      <c r="H222" s="160">
        <v>0</v>
      </c>
      <c r="I222" s="157"/>
      <c r="J222" s="149">
        <v>0</v>
      </c>
      <c r="K222" s="149">
        <v>5000</v>
      </c>
      <c r="L222" s="149">
        <v>5000</v>
      </c>
      <c r="M222" s="149" t="s">
        <v>586</v>
      </c>
      <c r="N222" s="162"/>
    </row>
    <row r="223" spans="2:14" ht="15.75" thickBot="1" x14ac:dyDescent="0.3">
      <c r="B223" s="148"/>
      <c r="C223" s="149">
        <v>21604010</v>
      </c>
      <c r="D223" s="149" t="s">
        <v>38</v>
      </c>
      <c r="E223" s="160">
        <v>1500</v>
      </c>
      <c r="F223" s="160">
        <v>1500</v>
      </c>
      <c r="G223" s="160">
        <v>238.8</v>
      </c>
      <c r="H223" s="160">
        <v>0</v>
      </c>
      <c r="I223" s="157"/>
      <c r="J223" s="149">
        <v>238.8</v>
      </c>
      <c r="K223" s="149">
        <v>2000</v>
      </c>
      <c r="L223" s="149">
        <v>2000</v>
      </c>
      <c r="M223" s="149" t="s">
        <v>586</v>
      </c>
      <c r="N223" s="162"/>
    </row>
    <row r="224" spans="2:14" ht="15.75" thickBot="1" x14ac:dyDescent="0.3">
      <c r="B224" s="148"/>
      <c r="C224" s="149">
        <v>21605001</v>
      </c>
      <c r="D224" s="149" t="s">
        <v>458</v>
      </c>
      <c r="E224" s="160">
        <v>50000</v>
      </c>
      <c r="F224" s="160">
        <v>50000</v>
      </c>
      <c r="G224" s="160">
        <v>2391.7559999999999</v>
      </c>
      <c r="H224" s="160">
        <v>0</v>
      </c>
      <c r="I224" s="157"/>
      <c r="J224" s="149">
        <v>2391.7559999999999</v>
      </c>
      <c r="K224" s="149">
        <v>50000</v>
      </c>
      <c r="L224" s="149">
        <v>50000</v>
      </c>
      <c r="M224" s="149" t="s">
        <v>586</v>
      </c>
      <c r="N224" s="162"/>
    </row>
    <row r="225" spans="2:14" ht="15.75" thickBot="1" x14ac:dyDescent="0.3">
      <c r="B225" s="148"/>
      <c r="C225" s="149">
        <v>21609001</v>
      </c>
      <c r="D225" s="149" t="s">
        <v>663</v>
      </c>
      <c r="E225" s="160">
        <v>15000</v>
      </c>
      <c r="F225" s="160">
        <v>15000</v>
      </c>
      <c r="G225" s="160">
        <v>715.5</v>
      </c>
      <c r="H225" s="160">
        <v>0</v>
      </c>
      <c r="I225" s="157"/>
      <c r="J225" s="149">
        <v>715.5</v>
      </c>
      <c r="K225" s="149">
        <v>20000</v>
      </c>
      <c r="L225" s="149">
        <v>20000</v>
      </c>
      <c r="M225" s="149" t="s">
        <v>586</v>
      </c>
      <c r="N225" s="162"/>
    </row>
    <row r="226" spans="2:14" ht="15.75" thickBot="1" x14ac:dyDescent="0.3">
      <c r="B226" s="148"/>
      <c r="C226" s="149">
        <v>21609002</v>
      </c>
      <c r="D226" s="149" t="s">
        <v>460</v>
      </c>
      <c r="E226" s="160">
        <v>25000</v>
      </c>
      <c r="F226" s="160">
        <v>25000</v>
      </c>
      <c r="G226" s="160">
        <v>0</v>
      </c>
      <c r="H226" s="160">
        <v>0</v>
      </c>
      <c r="I226" s="157"/>
      <c r="J226" s="149">
        <v>0</v>
      </c>
      <c r="K226" s="149">
        <v>20000</v>
      </c>
      <c r="L226" s="149">
        <v>20000</v>
      </c>
      <c r="M226" s="149" t="s">
        <v>586</v>
      </c>
      <c r="N226" s="162"/>
    </row>
    <row r="227" spans="2:14" ht="15.75" thickBot="1" x14ac:dyDescent="0.3">
      <c r="B227" s="148"/>
      <c r="C227" s="149">
        <v>21610001</v>
      </c>
      <c r="D227" s="149" t="s">
        <v>270</v>
      </c>
      <c r="E227" s="160">
        <v>4000</v>
      </c>
      <c r="F227" s="160">
        <v>4000</v>
      </c>
      <c r="G227" s="160">
        <v>0</v>
      </c>
      <c r="H227" s="160">
        <v>0</v>
      </c>
      <c r="I227" s="157"/>
      <c r="J227" s="149">
        <v>0</v>
      </c>
      <c r="K227" s="149">
        <v>2000</v>
      </c>
      <c r="L227" s="149">
        <v>2000</v>
      </c>
      <c r="M227" s="149" t="s">
        <v>586</v>
      </c>
      <c r="N227" s="162"/>
    </row>
    <row r="228" spans="2:14" ht="15.75" thickBot="1" x14ac:dyDescent="0.3">
      <c r="B228" s="148"/>
      <c r="C228" s="149">
        <v>23603002</v>
      </c>
      <c r="D228" s="149" t="s">
        <v>63</v>
      </c>
      <c r="E228" s="160">
        <v>75</v>
      </c>
      <c r="F228" s="160">
        <v>75</v>
      </c>
      <c r="G228" s="160">
        <v>0</v>
      </c>
      <c r="H228" s="160">
        <v>0</v>
      </c>
      <c r="I228" s="157"/>
      <c r="J228" s="149">
        <v>0</v>
      </c>
      <c r="K228" s="149">
        <v>500</v>
      </c>
      <c r="L228" s="149">
        <v>75</v>
      </c>
      <c r="M228" s="149" t="s">
        <v>586</v>
      </c>
      <c r="N228" s="162"/>
    </row>
    <row r="229" spans="2:14" ht="15.75" thickBot="1" x14ac:dyDescent="0.3">
      <c r="B229" s="148"/>
      <c r="C229" s="149">
        <v>23604001</v>
      </c>
      <c r="D229" s="149" t="s">
        <v>369</v>
      </c>
      <c r="E229" s="160">
        <v>70000</v>
      </c>
      <c r="F229" s="160">
        <v>20000</v>
      </c>
      <c r="G229" s="160">
        <v>0</v>
      </c>
      <c r="H229" s="160">
        <v>0</v>
      </c>
      <c r="I229" s="157"/>
      <c r="J229" s="149">
        <v>0</v>
      </c>
      <c r="K229" s="149">
        <v>50000</v>
      </c>
      <c r="L229" s="149">
        <v>50000</v>
      </c>
      <c r="M229" s="149" t="s">
        <v>586</v>
      </c>
      <c r="N229" s="162"/>
    </row>
    <row r="230" spans="2:14" ht="15.75" thickBot="1" x14ac:dyDescent="0.3">
      <c r="B230" s="148"/>
      <c r="C230" s="149">
        <v>23604003</v>
      </c>
      <c r="D230" s="149" t="s">
        <v>459</v>
      </c>
      <c r="E230" s="160">
        <v>50000</v>
      </c>
      <c r="F230" s="160">
        <v>10000</v>
      </c>
      <c r="G230" s="160">
        <v>2310</v>
      </c>
      <c r="H230" s="160">
        <v>0</v>
      </c>
      <c r="I230" s="157"/>
      <c r="J230" s="149">
        <v>2310</v>
      </c>
      <c r="K230" s="149">
        <v>10000</v>
      </c>
      <c r="L230" s="149">
        <v>10000</v>
      </c>
      <c r="M230" s="149" t="s">
        <v>586</v>
      </c>
      <c r="N230" s="162"/>
    </row>
    <row r="231" spans="2:14" ht="15.75" thickBot="1" x14ac:dyDescent="0.3">
      <c r="B231" s="148"/>
      <c r="C231" s="149">
        <v>26401017</v>
      </c>
      <c r="D231" s="149" t="s">
        <v>9</v>
      </c>
      <c r="E231" s="160">
        <v>50000</v>
      </c>
      <c r="F231" s="160">
        <v>50000</v>
      </c>
      <c r="G231" s="160">
        <v>0</v>
      </c>
      <c r="H231" s="160">
        <v>0</v>
      </c>
      <c r="I231" s="157"/>
      <c r="J231" s="149">
        <v>0</v>
      </c>
      <c r="K231" s="149">
        <v>70000</v>
      </c>
      <c r="L231" s="149">
        <v>70000</v>
      </c>
      <c r="M231" s="149" t="s">
        <v>586</v>
      </c>
      <c r="N231" s="162"/>
    </row>
    <row r="232" spans="2:14" ht="15.75" thickBot="1" x14ac:dyDescent="0.3">
      <c r="B232" s="148"/>
      <c r="C232" s="149">
        <v>26401018</v>
      </c>
      <c r="D232" s="149" t="s">
        <v>439</v>
      </c>
      <c r="E232" s="160">
        <v>15000</v>
      </c>
      <c r="F232" s="160">
        <v>15000</v>
      </c>
      <c r="G232" s="160">
        <v>0</v>
      </c>
      <c r="H232" s="160">
        <v>0</v>
      </c>
      <c r="I232" s="157"/>
      <c r="J232" s="149">
        <v>0</v>
      </c>
      <c r="K232" s="149">
        <v>10000</v>
      </c>
      <c r="L232" s="149">
        <v>10000</v>
      </c>
      <c r="M232" s="149" t="s">
        <v>586</v>
      </c>
      <c r="N232" s="162"/>
    </row>
    <row r="233" spans="2:14" ht="15.75" thickBot="1" x14ac:dyDescent="0.3">
      <c r="B233" s="148"/>
      <c r="C233" s="149">
        <v>26402003</v>
      </c>
      <c r="D233" s="149" t="s">
        <v>664</v>
      </c>
      <c r="E233" s="160">
        <v>15000</v>
      </c>
      <c r="F233" s="160">
        <v>15000</v>
      </c>
      <c r="G233" s="160">
        <v>0</v>
      </c>
      <c r="H233" s="160">
        <v>0</v>
      </c>
      <c r="I233" s="157"/>
      <c r="J233" s="149">
        <v>0</v>
      </c>
      <c r="K233" s="149">
        <v>30000</v>
      </c>
      <c r="L233" s="149">
        <v>30000</v>
      </c>
      <c r="M233" s="149" t="s">
        <v>586</v>
      </c>
      <c r="N233" s="162"/>
    </row>
    <row r="234" spans="2:14" ht="15.75" thickBot="1" x14ac:dyDescent="0.3">
      <c r="B234" s="148"/>
      <c r="C234" s="149">
        <v>26402004</v>
      </c>
      <c r="D234" s="149" t="s">
        <v>665</v>
      </c>
      <c r="E234" s="160">
        <v>15000</v>
      </c>
      <c r="F234" s="160">
        <v>15000</v>
      </c>
      <c r="G234" s="160">
        <v>2783</v>
      </c>
      <c r="H234" s="160">
        <v>67</v>
      </c>
      <c r="I234" s="157"/>
      <c r="J234" s="149">
        <v>2783</v>
      </c>
      <c r="K234" s="149">
        <v>50000</v>
      </c>
      <c r="L234" s="149">
        <v>50000</v>
      </c>
      <c r="M234" s="149" t="s">
        <v>586</v>
      </c>
      <c r="N234" s="162"/>
    </row>
    <row r="235" spans="2:14" ht="15.75" thickBot="1" x14ac:dyDescent="0.3">
      <c r="B235" s="148"/>
      <c r="C235" s="149">
        <v>26602001</v>
      </c>
      <c r="D235" s="149" t="s">
        <v>12</v>
      </c>
      <c r="E235" s="160">
        <v>150000</v>
      </c>
      <c r="F235" s="160">
        <v>225000</v>
      </c>
      <c r="G235" s="160">
        <v>154666</v>
      </c>
      <c r="H235" s="160">
        <v>57034</v>
      </c>
      <c r="I235" s="157"/>
      <c r="J235" s="149">
        <v>154666</v>
      </c>
      <c r="K235" s="149">
        <v>300000</v>
      </c>
      <c r="L235" s="149">
        <v>300000</v>
      </c>
      <c r="M235" s="149" t="s">
        <v>586</v>
      </c>
      <c r="N235" s="162"/>
    </row>
    <row r="236" spans="2:14" ht="15.75" thickBot="1" x14ac:dyDescent="0.3">
      <c r="B236" s="148"/>
      <c r="C236" s="149">
        <v>26602004</v>
      </c>
      <c r="D236" s="149" t="s">
        <v>666</v>
      </c>
      <c r="E236" s="160">
        <v>10000</v>
      </c>
      <c r="F236" s="160">
        <v>10000</v>
      </c>
      <c r="G236" s="160">
        <v>4284.6499999999996</v>
      </c>
      <c r="H236" s="160">
        <v>0</v>
      </c>
      <c r="I236" s="157"/>
      <c r="J236" s="149">
        <v>4284.6499999999996</v>
      </c>
      <c r="K236" s="149">
        <v>20000</v>
      </c>
      <c r="L236" s="149">
        <v>20000</v>
      </c>
      <c r="M236" s="149" t="s">
        <v>586</v>
      </c>
      <c r="N236" s="162"/>
    </row>
    <row r="237" spans="2:14" ht="15.75" thickBot="1" x14ac:dyDescent="0.3">
      <c r="B237" s="148"/>
      <c r="C237" s="149">
        <v>26602005</v>
      </c>
      <c r="D237" s="149" t="s">
        <v>463</v>
      </c>
      <c r="E237" s="160">
        <v>10000</v>
      </c>
      <c r="F237" s="160">
        <v>10000</v>
      </c>
      <c r="G237" s="160">
        <v>0</v>
      </c>
      <c r="H237" s="160">
        <v>0</v>
      </c>
      <c r="I237" s="157"/>
      <c r="J237" s="149">
        <v>0</v>
      </c>
      <c r="K237" s="149">
        <v>30000</v>
      </c>
      <c r="L237" s="149">
        <v>30000</v>
      </c>
      <c r="M237" s="149" t="s">
        <v>586</v>
      </c>
      <c r="N237" s="162"/>
    </row>
    <row r="238" spans="2:14" ht="15.75" thickBot="1" x14ac:dyDescent="0.3">
      <c r="B238" s="148"/>
      <c r="C238" s="149">
        <v>26602006</v>
      </c>
      <c r="D238" s="149" t="s">
        <v>464</v>
      </c>
      <c r="E238" s="160">
        <v>20000</v>
      </c>
      <c r="F238" s="160">
        <v>20000</v>
      </c>
      <c r="G238" s="160">
        <v>800</v>
      </c>
      <c r="H238" s="160">
        <v>0</v>
      </c>
      <c r="I238" s="157"/>
      <c r="J238" s="149">
        <v>800</v>
      </c>
      <c r="K238" s="149">
        <v>40000</v>
      </c>
      <c r="L238" s="149">
        <v>40000</v>
      </c>
      <c r="M238" s="149" t="s">
        <v>586</v>
      </c>
      <c r="N238" s="162"/>
    </row>
    <row r="239" spans="2:14" ht="15.75" thickBot="1" x14ac:dyDescent="0.3">
      <c r="B239" s="148"/>
      <c r="C239" s="149">
        <v>26602007</v>
      </c>
      <c r="D239" s="149" t="s">
        <v>465</v>
      </c>
      <c r="E239" s="160">
        <v>5000</v>
      </c>
      <c r="F239" s="160">
        <v>5000</v>
      </c>
      <c r="G239" s="160">
        <v>2989.65</v>
      </c>
      <c r="H239" s="160">
        <v>0</v>
      </c>
      <c r="I239" s="157"/>
      <c r="J239" s="149">
        <v>2989.65</v>
      </c>
      <c r="K239" s="149">
        <v>5000</v>
      </c>
      <c r="L239" s="149">
        <v>5000</v>
      </c>
      <c r="M239" s="149" t="s">
        <v>586</v>
      </c>
      <c r="N239" s="162"/>
    </row>
    <row r="240" spans="2:14" ht="15.75" thickBot="1" x14ac:dyDescent="0.3">
      <c r="B240" s="148"/>
      <c r="C240" s="149">
        <v>26602008</v>
      </c>
      <c r="D240" s="149" t="s">
        <v>667</v>
      </c>
      <c r="E240" s="160">
        <v>30000</v>
      </c>
      <c r="F240" s="160">
        <v>20000</v>
      </c>
      <c r="G240" s="160">
        <v>0</v>
      </c>
      <c r="H240" s="160">
        <v>0</v>
      </c>
      <c r="I240" s="157"/>
      <c r="J240" s="149">
        <v>0</v>
      </c>
      <c r="K240" s="149">
        <v>30000</v>
      </c>
      <c r="L240" s="149">
        <v>30000</v>
      </c>
      <c r="M240" s="149" t="s">
        <v>586</v>
      </c>
      <c r="N240" s="162"/>
    </row>
    <row r="241" spans="2:14" ht="15" thickBot="1" x14ac:dyDescent="0.25">
      <c r="B241" s="152"/>
      <c r="C241" s="37"/>
      <c r="D241" s="37"/>
      <c r="E241" s="159"/>
      <c r="F241" s="159"/>
      <c r="G241" s="159"/>
      <c r="H241" s="159"/>
      <c r="J241" s="37"/>
      <c r="K241" s="37"/>
      <c r="L241" s="37"/>
      <c r="M241" s="37"/>
      <c r="N241" s="163"/>
    </row>
    <row r="242" spans="2:14" ht="15.75" thickBot="1" x14ac:dyDescent="0.3">
      <c r="B242" s="148" t="s">
        <v>668</v>
      </c>
      <c r="C242" s="149">
        <v>20103001</v>
      </c>
      <c r="D242" s="149" t="s">
        <v>22</v>
      </c>
      <c r="E242" s="160">
        <v>265000</v>
      </c>
      <c r="F242" s="160">
        <v>265000</v>
      </c>
      <c r="G242" s="160">
        <v>232437.69399999999</v>
      </c>
      <c r="H242" s="160">
        <v>0</v>
      </c>
      <c r="I242" s="157"/>
      <c r="J242" s="149">
        <v>232437.69</v>
      </c>
      <c r="K242" s="149">
        <v>0</v>
      </c>
      <c r="L242" s="149">
        <v>280000</v>
      </c>
      <c r="M242" s="149" t="s">
        <v>586</v>
      </c>
      <c r="N242" s="162"/>
    </row>
    <row r="243" spans="2:14" ht="15.75" thickBot="1" x14ac:dyDescent="0.3">
      <c r="B243" s="148"/>
      <c r="C243" s="149">
        <v>20117003</v>
      </c>
      <c r="D243" s="149" t="s">
        <v>32</v>
      </c>
      <c r="E243" s="160">
        <v>5000</v>
      </c>
      <c r="F243" s="160">
        <v>5000</v>
      </c>
      <c r="G243" s="160">
        <v>0</v>
      </c>
      <c r="H243" s="160">
        <v>0</v>
      </c>
      <c r="I243" s="157"/>
      <c r="J243" s="149">
        <v>0</v>
      </c>
      <c r="K243" s="149">
        <v>1000</v>
      </c>
      <c r="L243" s="149">
        <v>1000</v>
      </c>
      <c r="M243" s="149" t="s">
        <v>586</v>
      </c>
      <c r="N243" s="162"/>
    </row>
    <row r="244" spans="2:14" ht="15.75" thickBot="1" x14ac:dyDescent="0.3">
      <c r="B244" s="148"/>
      <c r="C244" s="149">
        <v>21606001</v>
      </c>
      <c r="D244" s="149" t="s">
        <v>39</v>
      </c>
      <c r="E244" s="160">
        <v>30000</v>
      </c>
      <c r="F244" s="160">
        <v>30000</v>
      </c>
      <c r="G244" s="160">
        <v>0</v>
      </c>
      <c r="H244" s="160">
        <v>0</v>
      </c>
      <c r="I244" s="157"/>
      <c r="J244" s="149">
        <v>0</v>
      </c>
      <c r="K244" s="149">
        <v>100</v>
      </c>
      <c r="L244" s="149">
        <v>5000</v>
      </c>
      <c r="M244" s="149" t="s">
        <v>586</v>
      </c>
      <c r="N244" s="162"/>
    </row>
    <row r="245" spans="2:14" ht="15.75" thickBot="1" x14ac:dyDescent="0.3">
      <c r="B245" s="148"/>
      <c r="C245" s="149">
        <v>21607001</v>
      </c>
      <c r="D245" s="149" t="s">
        <v>42</v>
      </c>
      <c r="E245" s="160">
        <v>70000</v>
      </c>
      <c r="F245" s="160">
        <v>70000</v>
      </c>
      <c r="G245" s="160">
        <v>1925.52</v>
      </c>
      <c r="H245" s="160">
        <v>8354.75</v>
      </c>
      <c r="I245" s="157"/>
      <c r="J245" s="149">
        <v>1925.52</v>
      </c>
      <c r="K245" s="149">
        <v>0</v>
      </c>
      <c r="L245" s="149">
        <v>70000</v>
      </c>
      <c r="M245" s="149" t="s">
        <v>586</v>
      </c>
      <c r="N245" s="162"/>
    </row>
    <row r="246" spans="2:14" ht="15.75" thickBot="1" x14ac:dyDescent="0.3">
      <c r="B246" s="148"/>
      <c r="C246" s="149">
        <v>21607004</v>
      </c>
      <c r="D246" s="149" t="s">
        <v>236</v>
      </c>
      <c r="E246" s="160">
        <v>15000</v>
      </c>
      <c r="F246" s="160">
        <v>15000</v>
      </c>
      <c r="G246" s="160">
        <v>3944.9560000000001</v>
      </c>
      <c r="H246" s="160">
        <v>4165.7439999999997</v>
      </c>
      <c r="I246" s="157"/>
      <c r="J246" s="149">
        <v>3944.9560000000001</v>
      </c>
      <c r="K246" s="149">
        <v>0</v>
      </c>
      <c r="L246" s="149">
        <v>15000</v>
      </c>
      <c r="M246" s="149" t="s">
        <v>586</v>
      </c>
      <c r="N246" s="162"/>
    </row>
    <row r="247" spans="2:14" ht="15.75" thickBot="1" x14ac:dyDescent="0.3">
      <c r="B247" s="148"/>
      <c r="C247" s="149">
        <v>23603002</v>
      </c>
      <c r="D247" s="149" t="s">
        <v>63</v>
      </c>
      <c r="E247" s="160">
        <v>75</v>
      </c>
      <c r="F247" s="160">
        <v>75</v>
      </c>
      <c r="G247" s="160">
        <v>70</v>
      </c>
      <c r="H247" s="160">
        <v>0</v>
      </c>
      <c r="I247" s="157"/>
      <c r="J247" s="149">
        <v>70</v>
      </c>
      <c r="K247" s="149">
        <v>0</v>
      </c>
      <c r="L247" s="149">
        <v>75</v>
      </c>
      <c r="M247" s="149" t="s">
        <v>586</v>
      </c>
      <c r="N247" s="162"/>
    </row>
    <row r="248" spans="2:14" ht="15.75" thickBot="1" x14ac:dyDescent="0.3">
      <c r="B248" s="148"/>
      <c r="C248" s="149">
        <v>25601004</v>
      </c>
      <c r="D248" s="149" t="s">
        <v>437</v>
      </c>
      <c r="E248" s="160">
        <v>4000</v>
      </c>
      <c r="F248" s="160">
        <v>4000</v>
      </c>
      <c r="G248" s="160">
        <v>0</v>
      </c>
      <c r="H248" s="160">
        <v>0</v>
      </c>
      <c r="I248" s="157"/>
      <c r="J248" s="149">
        <v>0</v>
      </c>
      <c r="K248" s="149">
        <v>0</v>
      </c>
      <c r="L248" s="149">
        <v>4000</v>
      </c>
      <c r="M248" s="149" t="s">
        <v>586</v>
      </c>
      <c r="N248" s="162"/>
    </row>
    <row r="249" spans="2:14" ht="15.75" thickBot="1" x14ac:dyDescent="0.3">
      <c r="B249" s="148"/>
      <c r="C249" s="149">
        <v>26301001</v>
      </c>
      <c r="D249" s="149" t="s">
        <v>102</v>
      </c>
      <c r="E249" s="160">
        <v>40000</v>
      </c>
      <c r="F249" s="160">
        <v>20000</v>
      </c>
      <c r="G249" s="160">
        <v>610</v>
      </c>
      <c r="H249" s="160">
        <v>361.25</v>
      </c>
      <c r="I249" s="157"/>
      <c r="J249" s="149">
        <v>610</v>
      </c>
      <c r="K249" s="149">
        <v>0</v>
      </c>
      <c r="L249" s="149">
        <v>40000</v>
      </c>
      <c r="M249" s="149" t="s">
        <v>586</v>
      </c>
      <c r="N249" s="162"/>
    </row>
    <row r="250" spans="2:14" ht="15.75" thickBot="1" x14ac:dyDescent="0.3">
      <c r="B250" s="148"/>
      <c r="C250" s="149">
        <v>26302001</v>
      </c>
      <c r="D250" s="149" t="s">
        <v>240</v>
      </c>
      <c r="E250" s="160">
        <v>15000</v>
      </c>
      <c r="F250" s="160">
        <v>75000</v>
      </c>
      <c r="G250" s="160">
        <v>750</v>
      </c>
      <c r="H250" s="160">
        <v>70450</v>
      </c>
      <c r="I250" s="157"/>
      <c r="J250" s="149">
        <v>750</v>
      </c>
      <c r="K250" s="149">
        <v>0</v>
      </c>
      <c r="L250" s="149">
        <v>15000</v>
      </c>
      <c r="M250" s="149" t="s">
        <v>586</v>
      </c>
      <c r="N250" s="162"/>
    </row>
    <row r="251" spans="2:14" ht="15" thickBot="1" x14ac:dyDescent="0.25">
      <c r="B251" s="152"/>
      <c r="C251" s="37"/>
      <c r="D251" s="37"/>
      <c r="E251" s="159"/>
      <c r="F251" s="159"/>
      <c r="G251" s="159"/>
      <c r="H251" s="159"/>
      <c r="J251" s="37"/>
      <c r="K251" s="37"/>
      <c r="L251" s="37"/>
      <c r="M251" s="37"/>
      <c r="N251" s="163"/>
    </row>
    <row r="252" spans="2:14" ht="15.75" thickBot="1" x14ac:dyDescent="0.3">
      <c r="B252" s="148" t="s">
        <v>669</v>
      </c>
      <c r="C252" s="149">
        <v>20103001</v>
      </c>
      <c r="D252" s="149" t="s">
        <v>22</v>
      </c>
      <c r="E252" s="160">
        <v>370000</v>
      </c>
      <c r="F252" s="160">
        <v>371000</v>
      </c>
      <c r="G252" s="160">
        <v>353565.74099999998</v>
      </c>
      <c r="H252" s="160">
        <v>0</v>
      </c>
      <c r="I252" s="157"/>
      <c r="J252" s="149">
        <v>353565.75</v>
      </c>
      <c r="K252" s="149">
        <v>0</v>
      </c>
      <c r="L252" s="149">
        <v>380000</v>
      </c>
      <c r="M252" s="149" t="s">
        <v>586</v>
      </c>
      <c r="N252" s="162"/>
    </row>
    <row r="253" spans="2:14" ht="15.75" thickBot="1" x14ac:dyDescent="0.3">
      <c r="B253" s="148"/>
      <c r="C253" s="149">
        <v>23603002</v>
      </c>
      <c r="D253" s="149" t="s">
        <v>63</v>
      </c>
      <c r="E253" s="160">
        <v>75</v>
      </c>
      <c r="F253" s="160">
        <v>75</v>
      </c>
      <c r="G253" s="160">
        <v>75</v>
      </c>
      <c r="H253" s="160">
        <v>0</v>
      </c>
      <c r="I253" s="157"/>
      <c r="J253" s="149">
        <v>75</v>
      </c>
      <c r="K253" s="149">
        <v>75</v>
      </c>
      <c r="L253" s="149">
        <v>75</v>
      </c>
      <c r="M253" s="149" t="s">
        <v>586</v>
      </c>
      <c r="N253" s="162"/>
    </row>
    <row r="254" spans="2:14" ht="15" thickBot="1" x14ac:dyDescent="0.25">
      <c r="B254" s="152"/>
      <c r="C254" s="37"/>
      <c r="D254" s="37"/>
      <c r="E254" s="159"/>
      <c r="F254" s="159"/>
      <c r="G254" s="159"/>
      <c r="H254" s="159"/>
      <c r="J254" s="37"/>
      <c r="K254" s="37"/>
      <c r="L254" s="37"/>
      <c r="M254" s="37"/>
      <c r="N254" s="163"/>
    </row>
    <row r="255" spans="2:14" ht="15.75" thickBot="1" x14ac:dyDescent="0.3">
      <c r="B255" s="148" t="s">
        <v>670</v>
      </c>
      <c r="C255" s="153">
        <v>1</v>
      </c>
      <c r="D255" s="153" t="s">
        <v>671</v>
      </c>
      <c r="E255" s="159">
        <v>0</v>
      </c>
      <c r="F255" s="159">
        <v>0</v>
      </c>
      <c r="G255" s="159">
        <v>0</v>
      </c>
      <c r="H255" s="159">
        <v>0</v>
      </c>
      <c r="I255" s="157"/>
      <c r="J255" s="153">
        <v>0</v>
      </c>
      <c r="K255" s="153">
        <v>2000</v>
      </c>
      <c r="L255" s="153">
        <v>2000</v>
      </c>
      <c r="M255" s="153" t="s">
        <v>586</v>
      </c>
      <c r="N255" s="164"/>
    </row>
    <row r="256" spans="2:14" ht="15.75" thickBot="1" x14ac:dyDescent="0.3">
      <c r="B256" s="148"/>
      <c r="C256" s="153">
        <v>2</v>
      </c>
      <c r="D256" s="153" t="s">
        <v>672</v>
      </c>
      <c r="E256" s="159">
        <v>0</v>
      </c>
      <c r="F256" s="159">
        <v>0</v>
      </c>
      <c r="G256" s="159">
        <v>0</v>
      </c>
      <c r="H256" s="159">
        <v>0</v>
      </c>
      <c r="I256" s="157"/>
      <c r="J256" s="153">
        <v>0</v>
      </c>
      <c r="K256" s="153">
        <v>12000</v>
      </c>
      <c r="L256" s="153">
        <v>0</v>
      </c>
      <c r="M256" s="153" t="s">
        <v>586</v>
      </c>
      <c r="N256" s="164"/>
    </row>
    <row r="257" spans="2:14" ht="15.75" thickBot="1" x14ac:dyDescent="0.3">
      <c r="B257" s="148"/>
      <c r="C257" s="149">
        <v>20103001</v>
      </c>
      <c r="D257" s="149" t="s">
        <v>22</v>
      </c>
      <c r="E257" s="160">
        <v>230000</v>
      </c>
      <c r="F257" s="160">
        <v>252000</v>
      </c>
      <c r="G257" s="160">
        <v>247937.67800000001</v>
      </c>
      <c r="H257" s="160">
        <v>0</v>
      </c>
      <c r="I257" s="157"/>
      <c r="J257" s="149">
        <v>247937.69</v>
      </c>
      <c r="K257" s="149">
        <v>0</v>
      </c>
      <c r="L257" s="149">
        <v>280000</v>
      </c>
      <c r="M257" s="149" t="s">
        <v>586</v>
      </c>
      <c r="N257" s="162"/>
    </row>
    <row r="258" spans="2:14" ht="15.75" thickBot="1" x14ac:dyDescent="0.3">
      <c r="B258" s="148"/>
      <c r="C258" s="149">
        <v>21607005</v>
      </c>
      <c r="D258" s="149" t="s">
        <v>673</v>
      </c>
      <c r="E258" s="160">
        <v>7000</v>
      </c>
      <c r="F258" s="160">
        <v>7000</v>
      </c>
      <c r="G258" s="160">
        <v>0</v>
      </c>
      <c r="H258" s="160">
        <v>6999.75</v>
      </c>
      <c r="I258" s="157"/>
      <c r="J258" s="149">
        <v>0</v>
      </c>
      <c r="K258" s="149">
        <v>5000</v>
      </c>
      <c r="L258" s="149">
        <v>5000</v>
      </c>
      <c r="M258" s="149" t="s">
        <v>586</v>
      </c>
      <c r="N258" s="162"/>
    </row>
    <row r="259" spans="2:14" ht="15.75" thickBot="1" x14ac:dyDescent="0.3">
      <c r="B259" s="148"/>
      <c r="C259" s="149">
        <v>23603002</v>
      </c>
      <c r="D259" s="149" t="s">
        <v>63</v>
      </c>
      <c r="E259" s="160">
        <v>75</v>
      </c>
      <c r="F259" s="160">
        <v>75</v>
      </c>
      <c r="G259" s="160">
        <v>75</v>
      </c>
      <c r="H259" s="160">
        <v>0</v>
      </c>
      <c r="I259" s="157"/>
      <c r="J259" s="149">
        <v>75</v>
      </c>
      <c r="K259" s="149">
        <v>500</v>
      </c>
      <c r="L259" s="149">
        <v>75</v>
      </c>
      <c r="M259" s="149" t="s">
        <v>586</v>
      </c>
      <c r="N259" s="166" t="s">
        <v>674</v>
      </c>
    </row>
    <row r="260" spans="2:14" ht="15" thickBot="1" x14ac:dyDescent="0.25">
      <c r="B260" s="152"/>
      <c r="C260" s="37"/>
      <c r="D260" s="37"/>
      <c r="E260" s="159"/>
      <c r="F260" s="159"/>
      <c r="G260" s="159"/>
      <c r="H260" s="159"/>
      <c r="J260" s="37"/>
      <c r="K260" s="37"/>
      <c r="L260" s="37"/>
      <c r="M260" s="37"/>
      <c r="N260" s="163"/>
    </row>
    <row r="261" spans="2:14" ht="27" thickBot="1" x14ac:dyDescent="0.3">
      <c r="B261" s="148" t="s">
        <v>367</v>
      </c>
      <c r="C261" s="153">
        <v>1</v>
      </c>
      <c r="D261" s="153" t="s">
        <v>675</v>
      </c>
      <c r="E261" s="159">
        <v>0</v>
      </c>
      <c r="F261" s="159">
        <v>0</v>
      </c>
      <c r="G261" s="159">
        <v>0</v>
      </c>
      <c r="H261" s="159">
        <v>0</v>
      </c>
      <c r="I261" s="157"/>
      <c r="J261" s="153">
        <v>0</v>
      </c>
      <c r="K261" s="153">
        <v>25000</v>
      </c>
      <c r="L261" s="153">
        <v>25000</v>
      </c>
      <c r="M261" s="153" t="s">
        <v>586</v>
      </c>
      <c r="N261" s="164"/>
    </row>
    <row r="262" spans="2:14" ht="27" thickBot="1" x14ac:dyDescent="0.3">
      <c r="B262" s="148"/>
      <c r="C262" s="153">
        <v>2</v>
      </c>
      <c r="D262" s="153" t="s">
        <v>676</v>
      </c>
      <c r="E262" s="159">
        <v>0</v>
      </c>
      <c r="F262" s="159">
        <v>0</v>
      </c>
      <c r="G262" s="159">
        <v>0</v>
      </c>
      <c r="H262" s="159">
        <v>0</v>
      </c>
      <c r="I262" s="157"/>
      <c r="J262" s="153">
        <v>0</v>
      </c>
      <c r="K262" s="153">
        <v>3000</v>
      </c>
      <c r="L262" s="153">
        <v>3000</v>
      </c>
      <c r="M262" s="153" t="s">
        <v>586</v>
      </c>
      <c r="N262" s="164"/>
    </row>
    <row r="263" spans="2:14" ht="15.75" thickBot="1" x14ac:dyDescent="0.3">
      <c r="B263" s="148"/>
      <c r="C263" s="149">
        <v>20103001</v>
      </c>
      <c r="D263" s="149" t="s">
        <v>22</v>
      </c>
      <c r="E263" s="160">
        <v>292000</v>
      </c>
      <c r="F263" s="160">
        <v>298000</v>
      </c>
      <c r="G263" s="160">
        <v>282624.33</v>
      </c>
      <c r="H263" s="160">
        <v>0</v>
      </c>
      <c r="I263" s="157"/>
      <c r="J263" s="149">
        <v>282624.34000000003</v>
      </c>
      <c r="K263" s="149">
        <v>0</v>
      </c>
      <c r="L263" s="149">
        <v>300000</v>
      </c>
      <c r="M263" s="149" t="s">
        <v>586</v>
      </c>
      <c r="N263" s="162"/>
    </row>
    <row r="264" spans="2:14" ht="15.75" thickBot="1" x14ac:dyDescent="0.3">
      <c r="B264" s="148"/>
      <c r="C264" s="149">
        <v>23603002</v>
      </c>
      <c r="D264" s="149" t="s">
        <v>63</v>
      </c>
      <c r="E264" s="160">
        <v>75</v>
      </c>
      <c r="F264" s="160">
        <v>75</v>
      </c>
      <c r="G264" s="160">
        <v>0</v>
      </c>
      <c r="H264" s="160">
        <v>0</v>
      </c>
      <c r="I264" s="157"/>
      <c r="J264" s="149">
        <v>0</v>
      </c>
      <c r="K264" s="149">
        <v>75</v>
      </c>
      <c r="L264" s="149">
        <v>75</v>
      </c>
      <c r="M264" s="149" t="s">
        <v>586</v>
      </c>
      <c r="N264" s="162"/>
    </row>
    <row r="265" spans="2:14" ht="15.75" thickBot="1" x14ac:dyDescent="0.3">
      <c r="B265" s="148"/>
      <c r="C265" s="149">
        <v>25701001</v>
      </c>
      <c r="D265" s="149" t="s">
        <v>677</v>
      </c>
      <c r="E265" s="160">
        <v>30000</v>
      </c>
      <c r="F265" s="160">
        <v>30000</v>
      </c>
      <c r="G265" s="160">
        <v>5249.5649999999996</v>
      </c>
      <c r="H265" s="160">
        <v>0.435</v>
      </c>
      <c r="I265" s="157"/>
      <c r="J265" s="149">
        <v>5249.5649999999996</v>
      </c>
      <c r="K265" s="149">
        <v>30000</v>
      </c>
      <c r="L265" s="149">
        <v>30000</v>
      </c>
      <c r="M265" s="149" t="s">
        <v>586</v>
      </c>
      <c r="N265" s="162"/>
    </row>
    <row r="266" spans="2:14" ht="15.75" thickBot="1" x14ac:dyDescent="0.3">
      <c r="B266" s="148"/>
      <c r="C266" s="149">
        <v>25701002</v>
      </c>
      <c r="D266" s="149" t="s">
        <v>100</v>
      </c>
      <c r="E266" s="160">
        <v>5000</v>
      </c>
      <c r="F266" s="160">
        <v>5000</v>
      </c>
      <c r="G266" s="160">
        <v>0</v>
      </c>
      <c r="H266" s="160">
        <v>0</v>
      </c>
      <c r="I266" s="157"/>
      <c r="J266" s="149">
        <v>0</v>
      </c>
      <c r="K266" s="149">
        <v>5000</v>
      </c>
      <c r="L266" s="149">
        <v>5000</v>
      </c>
      <c r="M266" s="149" t="s">
        <v>586</v>
      </c>
      <c r="N266" s="162"/>
    </row>
    <row r="267" spans="2:14" ht="15.75" thickBot="1" x14ac:dyDescent="0.3">
      <c r="B267" s="148"/>
      <c r="C267" s="149">
        <v>26301006</v>
      </c>
      <c r="D267" s="149" t="s">
        <v>5</v>
      </c>
      <c r="E267" s="160">
        <v>5000</v>
      </c>
      <c r="F267" s="160">
        <v>5000</v>
      </c>
      <c r="G267" s="160">
        <v>0</v>
      </c>
      <c r="H267" s="160">
        <v>0</v>
      </c>
      <c r="I267" s="157"/>
      <c r="J267" s="149">
        <v>0</v>
      </c>
      <c r="K267" s="149">
        <v>10000</v>
      </c>
      <c r="L267" s="149">
        <v>10000</v>
      </c>
      <c r="M267" s="149" t="s">
        <v>586</v>
      </c>
      <c r="N267" s="162"/>
    </row>
    <row r="268" spans="2:14" ht="15" thickBot="1" x14ac:dyDescent="0.25">
      <c r="B268" s="152"/>
      <c r="C268" s="37"/>
      <c r="D268" s="37"/>
      <c r="E268" s="159"/>
      <c r="F268" s="159"/>
      <c r="G268" s="159"/>
      <c r="H268" s="159"/>
      <c r="J268" s="37"/>
      <c r="K268" s="37"/>
      <c r="L268" s="37"/>
      <c r="M268" s="37"/>
      <c r="N268" s="163"/>
    </row>
    <row r="269" spans="2:14" ht="15.75" thickBot="1" x14ac:dyDescent="0.3">
      <c r="B269" s="148" t="s">
        <v>489</v>
      </c>
      <c r="C269" s="149">
        <v>20103001</v>
      </c>
      <c r="D269" s="149" t="s">
        <v>22</v>
      </c>
      <c r="E269" s="160">
        <v>130000</v>
      </c>
      <c r="F269" s="160">
        <v>130000</v>
      </c>
      <c r="G269" s="160">
        <v>104404.76</v>
      </c>
      <c r="H269" s="160">
        <v>0</v>
      </c>
      <c r="I269" s="157"/>
      <c r="J269" s="149">
        <v>104404.766</v>
      </c>
      <c r="K269" s="149">
        <v>0</v>
      </c>
      <c r="L269" s="149">
        <v>130000</v>
      </c>
      <c r="M269" s="149" t="s">
        <v>586</v>
      </c>
      <c r="N269" s="162"/>
    </row>
    <row r="270" spans="2:14" ht="15.75" thickBot="1" x14ac:dyDescent="0.3">
      <c r="B270" s="148"/>
      <c r="C270" s="149">
        <v>23603002</v>
      </c>
      <c r="D270" s="149" t="s">
        <v>63</v>
      </c>
      <c r="E270" s="160">
        <v>75</v>
      </c>
      <c r="F270" s="160">
        <v>75</v>
      </c>
      <c r="G270" s="160">
        <v>0</v>
      </c>
      <c r="H270" s="160">
        <v>0</v>
      </c>
      <c r="I270" s="157"/>
      <c r="J270" s="149">
        <v>0</v>
      </c>
      <c r="K270" s="149">
        <v>100</v>
      </c>
      <c r="L270" s="149">
        <v>100</v>
      </c>
      <c r="M270" s="149" t="s">
        <v>586</v>
      </c>
      <c r="N270" s="162"/>
    </row>
    <row r="271" spans="2:14" ht="15.75" thickBot="1" x14ac:dyDescent="0.3">
      <c r="B271" s="148"/>
      <c r="C271" s="149">
        <v>25901001</v>
      </c>
      <c r="D271" s="149" t="s">
        <v>101</v>
      </c>
      <c r="E271" s="160">
        <v>300000</v>
      </c>
      <c r="F271" s="160">
        <v>310000</v>
      </c>
      <c r="G271" s="160">
        <v>309999.35200000001</v>
      </c>
      <c r="H271" s="160">
        <v>0</v>
      </c>
      <c r="I271" s="157"/>
      <c r="J271" s="149">
        <v>309999.38</v>
      </c>
      <c r="K271" s="149">
        <v>300000</v>
      </c>
      <c r="L271" s="149">
        <v>300000</v>
      </c>
      <c r="M271" s="149" t="s">
        <v>586</v>
      </c>
      <c r="N271" s="162"/>
    </row>
    <row r="272" spans="2:14" ht="15.75" thickBot="1" x14ac:dyDescent="0.3">
      <c r="B272" s="148"/>
      <c r="C272" s="149">
        <v>25902001</v>
      </c>
      <c r="D272" s="149" t="s">
        <v>90</v>
      </c>
      <c r="E272" s="160">
        <v>10000</v>
      </c>
      <c r="F272" s="160">
        <v>0</v>
      </c>
      <c r="G272" s="160">
        <v>0</v>
      </c>
      <c r="H272" s="160">
        <v>0</v>
      </c>
      <c r="I272" s="157"/>
      <c r="J272" s="149">
        <v>0</v>
      </c>
      <c r="K272" s="149">
        <v>10000</v>
      </c>
      <c r="L272" s="149">
        <v>10000</v>
      </c>
      <c r="M272" s="149" t="s">
        <v>586</v>
      </c>
      <c r="N272" s="162"/>
    </row>
    <row r="273" spans="2:14" ht="15.75" thickBot="1" x14ac:dyDescent="0.3">
      <c r="B273" s="148"/>
      <c r="C273" s="149">
        <v>26302008</v>
      </c>
      <c r="D273" s="149" t="s">
        <v>441</v>
      </c>
      <c r="E273" s="160">
        <v>10000</v>
      </c>
      <c r="F273" s="160">
        <v>10000</v>
      </c>
      <c r="G273" s="160">
        <v>0</v>
      </c>
      <c r="H273" s="160">
        <v>0</v>
      </c>
      <c r="I273" s="157"/>
      <c r="J273" s="149">
        <v>0</v>
      </c>
      <c r="K273" s="149">
        <v>10000</v>
      </c>
      <c r="L273" s="149">
        <v>10000</v>
      </c>
      <c r="M273" s="149" t="s">
        <v>586</v>
      </c>
      <c r="N273" s="162"/>
    </row>
    <row r="274" spans="2:14" ht="15.75" thickBot="1" x14ac:dyDescent="0.3">
      <c r="B274" s="148"/>
      <c r="C274" s="149">
        <v>26402006</v>
      </c>
      <c r="D274" s="149" t="s">
        <v>315</v>
      </c>
      <c r="E274" s="160">
        <v>10000</v>
      </c>
      <c r="F274" s="160">
        <v>10000</v>
      </c>
      <c r="G274" s="160">
        <v>0</v>
      </c>
      <c r="H274" s="160">
        <v>0</v>
      </c>
      <c r="I274" s="157"/>
      <c r="J274" s="149">
        <v>0</v>
      </c>
      <c r="K274" s="149">
        <v>10000</v>
      </c>
      <c r="L274" s="149">
        <v>10000</v>
      </c>
      <c r="M274" s="149" t="s">
        <v>586</v>
      </c>
      <c r="N274" s="162"/>
    </row>
    <row r="275" spans="2:14" ht="15" thickBot="1" x14ac:dyDescent="0.25">
      <c r="B275" s="152"/>
      <c r="C275" s="37"/>
      <c r="D275" s="37"/>
      <c r="E275" s="159"/>
      <c r="F275" s="159"/>
      <c r="G275" s="159"/>
      <c r="H275" s="159"/>
      <c r="J275" s="37"/>
      <c r="K275" s="37"/>
      <c r="L275" s="37"/>
      <c r="M275" s="37"/>
      <c r="N275" s="163"/>
    </row>
    <row r="276" spans="2:14" ht="15.75" thickBot="1" x14ac:dyDescent="0.3">
      <c r="B276" s="148" t="s">
        <v>678</v>
      </c>
      <c r="C276" s="149">
        <v>20103001</v>
      </c>
      <c r="D276" s="149" t="s">
        <v>22</v>
      </c>
      <c r="E276" s="160">
        <v>75000</v>
      </c>
      <c r="F276" s="160">
        <v>75000</v>
      </c>
      <c r="G276" s="160">
        <v>66841.002999999997</v>
      </c>
      <c r="H276" s="160">
        <v>0</v>
      </c>
      <c r="I276" s="157"/>
      <c r="J276" s="149">
        <v>66841.009999999995</v>
      </c>
      <c r="K276" s="149">
        <v>0</v>
      </c>
      <c r="L276" s="149">
        <v>75000</v>
      </c>
      <c r="M276" s="149" t="s">
        <v>586</v>
      </c>
      <c r="N276" s="162"/>
    </row>
    <row r="277" spans="2:14" ht="15.75" thickBot="1" x14ac:dyDescent="0.3">
      <c r="B277" s="148"/>
      <c r="C277" s="149">
        <v>23603002</v>
      </c>
      <c r="D277" s="149" t="s">
        <v>63</v>
      </c>
      <c r="E277" s="160">
        <v>500</v>
      </c>
      <c r="F277" s="160">
        <v>500</v>
      </c>
      <c r="G277" s="160">
        <v>489.26</v>
      </c>
      <c r="H277" s="160">
        <v>0</v>
      </c>
      <c r="I277" s="157"/>
      <c r="J277" s="149">
        <v>489.26</v>
      </c>
      <c r="K277" s="149">
        <v>1000</v>
      </c>
      <c r="L277" s="149">
        <v>500</v>
      </c>
      <c r="M277" s="149" t="s">
        <v>586</v>
      </c>
      <c r="N277" s="162"/>
    </row>
    <row r="278" spans="2:14" ht="15" thickBot="1" x14ac:dyDescent="0.25">
      <c r="B278" s="152"/>
      <c r="C278" s="37"/>
      <c r="D278" s="37"/>
      <c r="E278" s="159"/>
      <c r="F278" s="159"/>
      <c r="G278" s="159"/>
      <c r="H278" s="159"/>
      <c r="J278" s="37"/>
      <c r="K278" s="37"/>
      <c r="L278" s="37"/>
      <c r="M278" s="37"/>
      <c r="N278" s="163"/>
    </row>
    <row r="279" spans="2:14" ht="15.75" thickBot="1" x14ac:dyDescent="0.3">
      <c r="B279" s="148" t="s">
        <v>679</v>
      </c>
      <c r="C279" s="149">
        <v>20103001</v>
      </c>
      <c r="D279" s="149" t="s">
        <v>22</v>
      </c>
      <c r="E279" s="160">
        <v>70000</v>
      </c>
      <c r="F279" s="160">
        <v>70000</v>
      </c>
      <c r="G279" s="160">
        <v>65658.149000000005</v>
      </c>
      <c r="H279" s="160">
        <v>0</v>
      </c>
      <c r="I279" s="157"/>
      <c r="J279" s="149">
        <v>65658.149999999994</v>
      </c>
      <c r="K279" s="149">
        <v>0</v>
      </c>
      <c r="L279" s="149">
        <v>75000</v>
      </c>
      <c r="M279" s="149" t="s">
        <v>586</v>
      </c>
      <c r="N279" s="162"/>
    </row>
    <row r="280" spans="2:14" ht="15.75" thickBot="1" x14ac:dyDescent="0.3">
      <c r="B280" s="148"/>
      <c r="C280" s="149">
        <v>23603002</v>
      </c>
      <c r="D280" s="149" t="s">
        <v>63</v>
      </c>
      <c r="E280" s="160">
        <v>75</v>
      </c>
      <c r="F280" s="160">
        <v>75</v>
      </c>
      <c r="G280" s="160">
        <v>71</v>
      </c>
      <c r="H280" s="160">
        <v>0</v>
      </c>
      <c r="I280" s="157"/>
      <c r="J280" s="149">
        <v>71</v>
      </c>
      <c r="K280" s="149">
        <v>75</v>
      </c>
      <c r="L280" s="149">
        <v>75</v>
      </c>
      <c r="M280" s="149" t="s">
        <v>586</v>
      </c>
      <c r="N280" s="162"/>
    </row>
    <row r="281" spans="2:14" ht="15" thickBot="1" x14ac:dyDescent="0.25">
      <c r="B281" s="152"/>
      <c r="C281" s="37"/>
      <c r="D281" s="37"/>
      <c r="E281" s="159"/>
      <c r="F281" s="159"/>
      <c r="G281" s="159"/>
      <c r="H281" s="159"/>
      <c r="J281" s="37"/>
      <c r="K281" s="37"/>
      <c r="L281" s="37"/>
      <c r="M281" s="37"/>
      <c r="N281" s="163"/>
    </row>
    <row r="282" spans="2:14" ht="15.75" thickBot="1" x14ac:dyDescent="0.3">
      <c r="B282" s="148" t="s">
        <v>398</v>
      </c>
      <c r="C282" s="149">
        <v>20103001</v>
      </c>
      <c r="D282" s="149" t="s">
        <v>22</v>
      </c>
      <c r="E282" s="160">
        <v>55000</v>
      </c>
      <c r="F282" s="160">
        <v>55000</v>
      </c>
      <c r="G282" s="160">
        <v>31982.936000000002</v>
      </c>
      <c r="H282" s="160">
        <v>0</v>
      </c>
      <c r="I282" s="157"/>
      <c r="J282" s="149">
        <v>31982.934000000001</v>
      </c>
      <c r="K282" s="149">
        <v>0</v>
      </c>
      <c r="L282" s="149">
        <v>0</v>
      </c>
      <c r="M282" s="149" t="s">
        <v>602</v>
      </c>
      <c r="N282" s="162"/>
    </row>
    <row r="283" spans="2:14" ht="15.75" thickBot="1" x14ac:dyDescent="0.3">
      <c r="B283" s="148"/>
      <c r="C283" s="149">
        <v>22608001</v>
      </c>
      <c r="D283" s="149" t="s">
        <v>51</v>
      </c>
      <c r="E283" s="160">
        <v>90000</v>
      </c>
      <c r="F283" s="160">
        <v>90000</v>
      </c>
      <c r="G283" s="160">
        <v>28000</v>
      </c>
      <c r="H283" s="160">
        <v>0</v>
      </c>
      <c r="I283" s="157"/>
      <c r="J283" s="149">
        <v>28000</v>
      </c>
      <c r="K283" s="149">
        <v>0</v>
      </c>
      <c r="L283" s="149">
        <v>0</v>
      </c>
      <c r="M283" s="149" t="s">
        <v>602</v>
      </c>
      <c r="N283" s="162"/>
    </row>
    <row r="284" spans="2:14" ht="15.75" thickBot="1" x14ac:dyDescent="0.3">
      <c r="B284" s="148"/>
      <c r="C284" s="149">
        <v>23603002</v>
      </c>
      <c r="D284" s="149" t="s">
        <v>63</v>
      </c>
      <c r="E284" s="160">
        <v>75</v>
      </c>
      <c r="F284" s="160">
        <v>75</v>
      </c>
      <c r="G284" s="160">
        <v>0</v>
      </c>
      <c r="H284" s="160">
        <v>0</v>
      </c>
      <c r="I284" s="157"/>
      <c r="J284" s="149">
        <v>0</v>
      </c>
      <c r="K284" s="149">
        <v>0</v>
      </c>
      <c r="L284" s="149">
        <v>0</v>
      </c>
      <c r="M284" s="149" t="s">
        <v>602</v>
      </c>
      <c r="N284" s="162"/>
    </row>
    <row r="285" spans="2:14" ht="15" thickBot="1" x14ac:dyDescent="0.25">
      <c r="B285" s="152"/>
      <c r="C285" s="37"/>
      <c r="D285" s="37"/>
      <c r="E285" s="159"/>
      <c r="F285" s="159"/>
      <c r="G285" s="159"/>
      <c r="H285" s="159"/>
      <c r="J285" s="37"/>
      <c r="K285" s="37"/>
      <c r="L285" s="37"/>
      <c r="M285" s="37"/>
      <c r="N285" s="163"/>
    </row>
    <row r="286" spans="2:14" ht="15.75" thickBot="1" x14ac:dyDescent="0.3">
      <c r="B286" s="148" t="s">
        <v>339</v>
      </c>
      <c r="C286" s="149">
        <v>20103001</v>
      </c>
      <c r="D286" s="149" t="s">
        <v>22</v>
      </c>
      <c r="E286" s="160">
        <v>40000</v>
      </c>
      <c r="F286" s="160">
        <v>40000</v>
      </c>
      <c r="G286" s="160">
        <v>36359.303999999996</v>
      </c>
      <c r="H286" s="160">
        <v>0</v>
      </c>
      <c r="I286" s="157"/>
      <c r="J286" s="149">
        <v>36359.305</v>
      </c>
      <c r="K286" s="149">
        <v>0</v>
      </c>
      <c r="L286" s="149">
        <v>40000</v>
      </c>
      <c r="M286" s="149" t="s">
        <v>586</v>
      </c>
      <c r="N286" s="162"/>
    </row>
    <row r="287" spans="2:14" ht="15.75" thickBot="1" x14ac:dyDescent="0.3">
      <c r="B287" s="148"/>
      <c r="C287" s="149">
        <v>23603002</v>
      </c>
      <c r="D287" s="149" t="s">
        <v>63</v>
      </c>
      <c r="E287" s="160">
        <v>75</v>
      </c>
      <c r="F287" s="160">
        <v>75</v>
      </c>
      <c r="G287" s="160">
        <v>0</v>
      </c>
      <c r="H287" s="160">
        <v>0</v>
      </c>
      <c r="I287" s="157"/>
      <c r="J287" s="149">
        <v>0</v>
      </c>
      <c r="K287" s="149">
        <v>0</v>
      </c>
      <c r="L287" s="149">
        <v>75</v>
      </c>
      <c r="M287" s="149" t="s">
        <v>586</v>
      </c>
      <c r="N287" s="162"/>
    </row>
    <row r="288" spans="2:14" ht="15" thickBot="1" x14ac:dyDescent="0.25">
      <c r="B288" s="152"/>
      <c r="C288" s="37"/>
      <c r="D288" s="37"/>
      <c r="E288" s="159"/>
      <c r="F288" s="159"/>
      <c r="G288" s="159"/>
      <c r="H288" s="159"/>
      <c r="J288" s="37"/>
      <c r="K288" s="37"/>
      <c r="L288" s="37"/>
      <c r="M288" s="37"/>
      <c r="N288" s="163"/>
    </row>
    <row r="289" spans="2:14" ht="15.75" thickBot="1" x14ac:dyDescent="0.3">
      <c r="B289" s="148" t="s">
        <v>680</v>
      </c>
      <c r="C289" s="153">
        <v>1</v>
      </c>
      <c r="D289" s="153" t="s">
        <v>681</v>
      </c>
      <c r="E289" s="159">
        <v>0</v>
      </c>
      <c r="F289" s="159">
        <v>0</v>
      </c>
      <c r="G289" s="159">
        <v>0</v>
      </c>
      <c r="H289" s="159">
        <v>0</v>
      </c>
      <c r="I289" s="157"/>
      <c r="J289" s="153">
        <v>0</v>
      </c>
      <c r="K289" s="153">
        <v>500</v>
      </c>
      <c r="L289" s="153">
        <v>0</v>
      </c>
      <c r="M289" s="153" t="s">
        <v>586</v>
      </c>
      <c r="N289" s="164"/>
    </row>
    <row r="290" spans="2:14" ht="15.75" thickBot="1" x14ac:dyDescent="0.3">
      <c r="B290" s="148"/>
      <c r="C290" s="149">
        <v>20103001</v>
      </c>
      <c r="D290" s="149" t="s">
        <v>22</v>
      </c>
      <c r="E290" s="160">
        <v>200000</v>
      </c>
      <c r="F290" s="160">
        <v>200000</v>
      </c>
      <c r="G290" s="160">
        <v>181408.43599999999</v>
      </c>
      <c r="H290" s="160">
        <v>0</v>
      </c>
      <c r="I290" s="157"/>
      <c r="J290" s="149">
        <v>181408.44</v>
      </c>
      <c r="K290" s="149">
        <v>0</v>
      </c>
      <c r="L290" s="149">
        <v>200000</v>
      </c>
      <c r="M290" s="149" t="s">
        <v>586</v>
      </c>
      <c r="N290" s="162"/>
    </row>
    <row r="291" spans="2:14" ht="15.75" thickBot="1" x14ac:dyDescent="0.3">
      <c r="B291" s="148"/>
      <c r="C291" s="149">
        <v>20117001</v>
      </c>
      <c r="D291" s="149" t="s">
        <v>30</v>
      </c>
      <c r="E291" s="160">
        <v>500000</v>
      </c>
      <c r="F291" s="160">
        <v>500000</v>
      </c>
      <c r="G291" s="160">
        <v>434981.76</v>
      </c>
      <c r="H291" s="160">
        <v>59397.04</v>
      </c>
      <c r="I291" s="157"/>
      <c r="J291" s="149">
        <v>434981.75</v>
      </c>
      <c r="K291" s="149">
        <v>500000</v>
      </c>
      <c r="L291" s="149">
        <v>500000</v>
      </c>
      <c r="M291" s="149" t="s">
        <v>586</v>
      </c>
      <c r="N291" s="162"/>
    </row>
    <row r="292" spans="2:14" ht="15.75" thickBot="1" x14ac:dyDescent="0.3">
      <c r="B292" s="148"/>
      <c r="C292" s="149">
        <v>23603002</v>
      </c>
      <c r="D292" s="149" t="s">
        <v>63</v>
      </c>
      <c r="E292" s="160">
        <v>75</v>
      </c>
      <c r="F292" s="160">
        <v>75</v>
      </c>
      <c r="G292" s="160">
        <v>75</v>
      </c>
      <c r="H292" s="160">
        <v>0</v>
      </c>
      <c r="I292" s="157"/>
      <c r="J292" s="149">
        <v>75</v>
      </c>
      <c r="K292" s="149">
        <v>75</v>
      </c>
      <c r="L292" s="149">
        <v>75</v>
      </c>
      <c r="M292" s="149" t="s">
        <v>586</v>
      </c>
      <c r="N292" s="162"/>
    </row>
    <row r="293" spans="2:14" ht="15.75" thickBot="1" x14ac:dyDescent="0.3">
      <c r="B293" s="148"/>
      <c r="C293" s="149">
        <v>26402006</v>
      </c>
      <c r="D293" s="149" t="s">
        <v>315</v>
      </c>
      <c r="E293" s="160">
        <v>10000</v>
      </c>
      <c r="F293" s="160">
        <v>10000</v>
      </c>
      <c r="G293" s="160">
        <v>59.9</v>
      </c>
      <c r="H293" s="160">
        <v>2050</v>
      </c>
      <c r="I293" s="157"/>
      <c r="J293" s="149">
        <v>59.9</v>
      </c>
      <c r="K293" s="149">
        <v>10000</v>
      </c>
      <c r="L293" s="149">
        <v>10000</v>
      </c>
      <c r="M293" s="149" t="s">
        <v>586</v>
      </c>
      <c r="N293" s="162"/>
    </row>
    <row r="294" spans="2:14" ht="15" thickBot="1" x14ac:dyDescent="0.25">
      <c r="B294" s="152"/>
      <c r="C294" s="37"/>
      <c r="D294" s="37"/>
      <c r="E294" s="159"/>
      <c r="F294" s="159"/>
      <c r="G294" s="159"/>
      <c r="H294" s="159"/>
      <c r="J294" s="37"/>
      <c r="K294" s="37"/>
      <c r="L294" s="37"/>
      <c r="M294" s="37"/>
      <c r="N294" s="163"/>
    </row>
    <row r="295" spans="2:14" ht="15.75" thickBot="1" x14ac:dyDescent="0.3">
      <c r="B295" s="148" t="s">
        <v>682</v>
      </c>
      <c r="C295" s="153">
        <v>1</v>
      </c>
      <c r="D295" s="153" t="s">
        <v>794</v>
      </c>
      <c r="E295" s="159">
        <v>0</v>
      </c>
      <c r="F295" s="159">
        <v>0</v>
      </c>
      <c r="G295" s="159">
        <v>0</v>
      </c>
      <c r="H295" s="159">
        <v>0</v>
      </c>
      <c r="I295" s="157"/>
      <c r="J295" s="153">
        <v>0</v>
      </c>
      <c r="K295" s="153">
        <v>600000</v>
      </c>
      <c r="L295" s="153">
        <v>0</v>
      </c>
      <c r="M295" s="153" t="s">
        <v>586</v>
      </c>
      <c r="N295" s="164"/>
    </row>
    <row r="296" spans="2:14" ht="15.75" thickBot="1" x14ac:dyDescent="0.3">
      <c r="B296" s="148"/>
      <c r="C296" s="149">
        <v>20103001</v>
      </c>
      <c r="D296" s="149" t="s">
        <v>22</v>
      </c>
      <c r="E296" s="160">
        <v>510000</v>
      </c>
      <c r="F296" s="160">
        <v>402000</v>
      </c>
      <c r="G296" s="160">
        <v>385085.147</v>
      </c>
      <c r="H296" s="160">
        <v>0</v>
      </c>
      <c r="I296" s="157"/>
      <c r="J296" s="149">
        <v>385085.16</v>
      </c>
      <c r="K296" s="149">
        <v>0</v>
      </c>
      <c r="L296" s="149">
        <v>510000</v>
      </c>
      <c r="M296" s="149" t="s">
        <v>586</v>
      </c>
      <c r="N296" s="162"/>
    </row>
    <row r="297" spans="2:14" ht="15.75" thickBot="1" x14ac:dyDescent="0.3">
      <c r="B297" s="148"/>
      <c r="C297" s="149">
        <v>20117003</v>
      </c>
      <c r="D297" s="149" t="s">
        <v>32</v>
      </c>
      <c r="E297" s="160">
        <v>5000</v>
      </c>
      <c r="F297" s="160">
        <v>25000</v>
      </c>
      <c r="G297" s="160">
        <v>17793</v>
      </c>
      <c r="H297" s="160">
        <v>0</v>
      </c>
      <c r="I297" s="157"/>
      <c r="J297" s="149">
        <v>17793</v>
      </c>
      <c r="K297" s="149">
        <v>15000</v>
      </c>
      <c r="L297" s="149">
        <v>15000</v>
      </c>
      <c r="M297" s="149" t="s">
        <v>586</v>
      </c>
      <c r="N297" s="166" t="s">
        <v>683</v>
      </c>
    </row>
    <row r="298" spans="2:14" ht="15.75" thickBot="1" x14ac:dyDescent="0.3">
      <c r="B298" s="148"/>
      <c r="C298" s="149">
        <v>21604001</v>
      </c>
      <c r="D298" s="149" t="s">
        <v>684</v>
      </c>
      <c r="E298" s="160">
        <v>50000</v>
      </c>
      <c r="F298" s="160">
        <v>30000</v>
      </c>
      <c r="G298" s="160">
        <v>21967.065999999999</v>
      </c>
      <c r="H298" s="160">
        <v>4967.25</v>
      </c>
      <c r="I298" s="157"/>
      <c r="J298" s="149">
        <v>21967.065999999999</v>
      </c>
      <c r="K298" s="149">
        <v>0</v>
      </c>
      <c r="L298" s="149">
        <v>0</v>
      </c>
      <c r="M298" s="149" t="s">
        <v>602</v>
      </c>
      <c r="N298" s="162"/>
    </row>
    <row r="299" spans="2:14" ht="27" thickBot="1" x14ac:dyDescent="0.3">
      <c r="B299" s="148"/>
      <c r="C299" s="149">
        <v>21604002</v>
      </c>
      <c r="D299" s="149" t="s">
        <v>685</v>
      </c>
      <c r="E299" s="160">
        <v>60000</v>
      </c>
      <c r="F299" s="160">
        <v>40000</v>
      </c>
      <c r="G299" s="160">
        <v>6936.63</v>
      </c>
      <c r="H299" s="160">
        <v>7280.4750000000004</v>
      </c>
      <c r="I299" s="157"/>
      <c r="J299" s="149">
        <v>6936.6310000000003</v>
      </c>
      <c r="K299" s="149">
        <v>0</v>
      </c>
      <c r="L299" s="149">
        <v>0</v>
      </c>
      <c r="M299" s="149" t="s">
        <v>602</v>
      </c>
      <c r="N299" s="162"/>
    </row>
    <row r="300" spans="2:14" ht="15.75" thickBot="1" x14ac:dyDescent="0.3">
      <c r="B300" s="148"/>
      <c r="C300" s="149">
        <v>21604017</v>
      </c>
      <c r="D300" s="149" t="s">
        <v>479</v>
      </c>
      <c r="E300" s="160">
        <v>100000</v>
      </c>
      <c r="F300" s="160">
        <v>140000</v>
      </c>
      <c r="G300" s="160">
        <v>4860.0330000000004</v>
      </c>
      <c r="H300" s="160">
        <v>135139.967</v>
      </c>
      <c r="I300" s="157"/>
      <c r="J300" s="149">
        <v>4860.0330000000004</v>
      </c>
      <c r="K300" s="149">
        <v>0</v>
      </c>
      <c r="L300" s="149">
        <v>0</v>
      </c>
      <c r="M300" s="149" t="s">
        <v>602</v>
      </c>
      <c r="N300" s="162"/>
    </row>
    <row r="301" spans="2:14" ht="15.75" thickBot="1" x14ac:dyDescent="0.3">
      <c r="B301" s="148"/>
      <c r="C301" s="149">
        <v>23603002</v>
      </c>
      <c r="D301" s="149" t="s">
        <v>63</v>
      </c>
      <c r="E301" s="160">
        <v>75</v>
      </c>
      <c r="F301" s="160">
        <v>75</v>
      </c>
      <c r="G301" s="160">
        <v>69.150000000000006</v>
      </c>
      <c r="H301" s="160">
        <v>0</v>
      </c>
      <c r="I301" s="157"/>
      <c r="J301" s="149">
        <v>69.150000000000006</v>
      </c>
      <c r="K301" s="149">
        <v>75</v>
      </c>
      <c r="L301" s="149">
        <v>75</v>
      </c>
      <c r="M301" s="149" t="s">
        <v>586</v>
      </c>
      <c r="N301" s="162"/>
    </row>
    <row r="302" spans="2:14" ht="15.75" thickBot="1" x14ac:dyDescent="0.3">
      <c r="B302" s="148"/>
      <c r="C302" s="149">
        <v>23604004</v>
      </c>
      <c r="D302" s="149" t="s">
        <v>425</v>
      </c>
      <c r="E302" s="160">
        <v>2000</v>
      </c>
      <c r="F302" s="160">
        <v>2000</v>
      </c>
      <c r="G302" s="160">
        <v>1081.5</v>
      </c>
      <c r="H302" s="160">
        <v>0</v>
      </c>
      <c r="I302" s="157"/>
      <c r="J302" s="149">
        <v>1081.5</v>
      </c>
      <c r="K302" s="149">
        <v>0</v>
      </c>
      <c r="L302" s="149">
        <v>0</v>
      </c>
      <c r="M302" s="149" t="s">
        <v>602</v>
      </c>
      <c r="N302" s="162"/>
    </row>
    <row r="303" spans="2:14" ht="15.75" thickBot="1" x14ac:dyDescent="0.3">
      <c r="B303" s="148"/>
      <c r="C303" s="149">
        <v>26402001</v>
      </c>
      <c r="D303" s="149" t="s">
        <v>686</v>
      </c>
      <c r="E303" s="160">
        <v>10000</v>
      </c>
      <c r="F303" s="160">
        <v>10000</v>
      </c>
      <c r="G303" s="160">
        <v>0</v>
      </c>
      <c r="H303" s="160">
        <v>0</v>
      </c>
      <c r="I303" s="157"/>
      <c r="J303" s="149">
        <v>0</v>
      </c>
      <c r="K303" s="149">
        <v>1500</v>
      </c>
      <c r="L303" s="149">
        <v>1500</v>
      </c>
      <c r="M303" s="149" t="s">
        <v>586</v>
      </c>
      <c r="N303" s="162"/>
    </row>
    <row r="304" spans="2:14" ht="15.75" thickBot="1" x14ac:dyDescent="0.3">
      <c r="B304" s="148"/>
      <c r="C304" s="149">
        <v>26404001</v>
      </c>
      <c r="D304" s="149" t="s">
        <v>304</v>
      </c>
      <c r="E304" s="160">
        <v>20000</v>
      </c>
      <c r="F304" s="160">
        <v>20000</v>
      </c>
      <c r="G304" s="160">
        <v>0</v>
      </c>
      <c r="H304" s="160">
        <v>4680</v>
      </c>
      <c r="I304" s="157"/>
      <c r="J304" s="149">
        <v>0</v>
      </c>
      <c r="K304" s="149">
        <v>500</v>
      </c>
      <c r="L304" s="149">
        <v>500</v>
      </c>
      <c r="M304" s="149" t="s">
        <v>586</v>
      </c>
      <c r="N304" s="166" t="s">
        <v>687</v>
      </c>
    </row>
    <row r="305" spans="2:14" ht="15.75" thickBot="1" x14ac:dyDescent="0.3">
      <c r="B305" s="148"/>
      <c r="C305" s="149">
        <v>26501001</v>
      </c>
      <c r="D305" s="149" t="s">
        <v>10</v>
      </c>
      <c r="E305" s="160">
        <v>150000</v>
      </c>
      <c r="F305" s="160">
        <v>150000</v>
      </c>
      <c r="G305" s="160">
        <v>0</v>
      </c>
      <c r="H305" s="160">
        <v>120879.181</v>
      </c>
      <c r="I305" s="157"/>
      <c r="J305" s="149">
        <v>0</v>
      </c>
      <c r="K305" s="149">
        <v>450000</v>
      </c>
      <c r="L305" s="149">
        <v>450000</v>
      </c>
      <c r="M305" s="149" t="s">
        <v>586</v>
      </c>
      <c r="N305" s="162"/>
    </row>
    <row r="306" spans="2:14" ht="15.75" thickBot="1" x14ac:dyDescent="0.3">
      <c r="B306" s="148"/>
      <c r="C306" s="149">
        <v>26501002</v>
      </c>
      <c r="D306" s="149" t="s">
        <v>11</v>
      </c>
      <c r="E306" s="160">
        <v>150000</v>
      </c>
      <c r="F306" s="160">
        <v>150000</v>
      </c>
      <c r="G306" s="160">
        <v>0</v>
      </c>
      <c r="H306" s="160">
        <v>2381.0070000000001</v>
      </c>
      <c r="I306" s="157"/>
      <c r="J306" s="149">
        <v>0</v>
      </c>
      <c r="K306" s="149">
        <v>450000</v>
      </c>
      <c r="L306" s="149">
        <v>450000</v>
      </c>
      <c r="M306" s="149" t="s">
        <v>586</v>
      </c>
      <c r="N306" s="162"/>
    </row>
    <row r="307" spans="2:14" ht="27" thickBot="1" x14ac:dyDescent="0.3">
      <c r="B307" s="148"/>
      <c r="C307" s="149">
        <v>26505001</v>
      </c>
      <c r="D307" s="149" t="s">
        <v>688</v>
      </c>
      <c r="E307" s="160">
        <v>15000</v>
      </c>
      <c r="F307" s="160">
        <v>15000</v>
      </c>
      <c r="G307" s="160">
        <v>603.20000000000005</v>
      </c>
      <c r="H307" s="160">
        <v>7000</v>
      </c>
      <c r="I307" s="157"/>
      <c r="J307" s="149">
        <v>603.20000000000005</v>
      </c>
      <c r="K307" s="149">
        <v>15</v>
      </c>
      <c r="L307" s="149">
        <v>15000</v>
      </c>
      <c r="M307" s="149" t="s">
        <v>586</v>
      </c>
      <c r="N307" s="162"/>
    </row>
    <row r="308" spans="2:14" ht="27" thickBot="1" x14ac:dyDescent="0.3">
      <c r="B308" s="148"/>
      <c r="C308" s="149">
        <v>26601068</v>
      </c>
      <c r="D308" s="149" t="s">
        <v>689</v>
      </c>
      <c r="E308" s="160">
        <v>50000</v>
      </c>
      <c r="F308" s="160">
        <v>10000</v>
      </c>
      <c r="G308" s="160">
        <v>0</v>
      </c>
      <c r="H308" s="160">
        <v>0</v>
      </c>
      <c r="I308" s="157"/>
      <c r="J308" s="149">
        <v>0</v>
      </c>
      <c r="K308" s="149">
        <v>400000</v>
      </c>
      <c r="L308" s="149">
        <v>400000</v>
      </c>
      <c r="M308" s="149" t="s">
        <v>586</v>
      </c>
      <c r="N308" s="162"/>
    </row>
    <row r="309" spans="2:14" ht="27" thickBot="1" x14ac:dyDescent="0.3">
      <c r="B309" s="148"/>
      <c r="C309" s="149">
        <v>26603002</v>
      </c>
      <c r="D309" s="149" t="s">
        <v>690</v>
      </c>
      <c r="E309" s="160">
        <v>40000</v>
      </c>
      <c r="F309" s="160">
        <v>15000</v>
      </c>
      <c r="G309" s="160">
        <v>0</v>
      </c>
      <c r="H309" s="160">
        <v>0</v>
      </c>
      <c r="I309" s="157"/>
      <c r="J309" s="149">
        <v>0</v>
      </c>
      <c r="K309" s="149">
        <v>50000</v>
      </c>
      <c r="L309" s="149">
        <v>50000</v>
      </c>
      <c r="M309" s="149" t="s">
        <v>586</v>
      </c>
      <c r="N309" s="162"/>
    </row>
    <row r="310" spans="2:14" ht="15" thickBot="1" x14ac:dyDescent="0.25">
      <c r="B310" s="152"/>
      <c r="C310" s="37"/>
      <c r="D310" s="37"/>
      <c r="E310" s="159"/>
      <c r="F310" s="159"/>
      <c r="G310" s="159"/>
      <c r="H310" s="159"/>
      <c r="J310" s="37"/>
      <c r="K310" s="37"/>
      <c r="L310" s="37"/>
      <c r="M310" s="37"/>
      <c r="N310" s="163"/>
    </row>
    <row r="311" spans="2:14" ht="15.75" thickBot="1" x14ac:dyDescent="0.3">
      <c r="B311" s="148" t="s">
        <v>374</v>
      </c>
      <c r="C311" s="149">
        <v>20103001</v>
      </c>
      <c r="D311" s="149" t="s">
        <v>22</v>
      </c>
      <c r="E311" s="160">
        <v>60000</v>
      </c>
      <c r="F311" s="160">
        <v>60000</v>
      </c>
      <c r="G311" s="160">
        <v>57460.567000000003</v>
      </c>
      <c r="H311" s="160">
        <v>0</v>
      </c>
      <c r="I311" s="157"/>
      <c r="J311" s="149">
        <v>57460.565999999999</v>
      </c>
      <c r="K311" s="149">
        <v>0</v>
      </c>
      <c r="L311" s="149">
        <v>60000</v>
      </c>
      <c r="M311" s="149" t="s">
        <v>586</v>
      </c>
      <c r="N311" s="162"/>
    </row>
    <row r="312" spans="2:14" ht="15" thickBot="1" x14ac:dyDescent="0.25">
      <c r="B312" s="152"/>
      <c r="C312" s="37"/>
      <c r="D312" s="37"/>
      <c r="E312" s="159"/>
      <c r="F312" s="159"/>
      <c r="G312" s="159"/>
      <c r="H312" s="159"/>
      <c r="J312" s="37"/>
      <c r="K312" s="37"/>
      <c r="L312" s="37"/>
      <c r="M312" s="37"/>
      <c r="N312" s="163"/>
    </row>
    <row r="313" spans="2:14" ht="15.75" thickBot="1" x14ac:dyDescent="0.3">
      <c r="B313" s="148" t="s">
        <v>691</v>
      </c>
      <c r="C313" s="153">
        <v>1</v>
      </c>
      <c r="D313" s="153" t="s">
        <v>692</v>
      </c>
      <c r="E313" s="159">
        <v>0</v>
      </c>
      <c r="F313" s="159">
        <v>0</v>
      </c>
      <c r="G313" s="159">
        <v>0</v>
      </c>
      <c r="H313" s="159">
        <v>0</v>
      </c>
      <c r="I313" s="157"/>
      <c r="J313" s="153">
        <v>0</v>
      </c>
      <c r="K313" s="153">
        <v>420000</v>
      </c>
      <c r="L313" s="153">
        <v>0</v>
      </c>
      <c r="M313" s="153" t="s">
        <v>586</v>
      </c>
      <c r="N313" s="165" t="s">
        <v>693</v>
      </c>
    </row>
    <row r="314" spans="2:14" ht="15.75" thickBot="1" x14ac:dyDescent="0.3">
      <c r="B314" s="148"/>
      <c r="C314" s="153">
        <v>2</v>
      </c>
      <c r="D314" s="153" t="s">
        <v>694</v>
      </c>
      <c r="E314" s="159">
        <v>0</v>
      </c>
      <c r="F314" s="159">
        <v>0</v>
      </c>
      <c r="G314" s="159">
        <v>0</v>
      </c>
      <c r="H314" s="159">
        <v>0</v>
      </c>
      <c r="I314" s="157"/>
      <c r="J314" s="153">
        <v>0</v>
      </c>
      <c r="K314" s="153">
        <v>200000</v>
      </c>
      <c r="L314" s="153">
        <v>0</v>
      </c>
      <c r="M314" s="153" t="s">
        <v>586</v>
      </c>
      <c r="N314" s="165" t="s">
        <v>695</v>
      </c>
    </row>
    <row r="315" spans="2:14" ht="15.75" thickBot="1" x14ac:dyDescent="0.3">
      <c r="B315" s="148"/>
      <c r="C315" s="153">
        <v>3</v>
      </c>
      <c r="D315" s="153" t="s">
        <v>696</v>
      </c>
      <c r="E315" s="159">
        <v>0</v>
      </c>
      <c r="F315" s="159">
        <v>0</v>
      </c>
      <c r="G315" s="159">
        <v>0</v>
      </c>
      <c r="H315" s="159">
        <v>0</v>
      </c>
      <c r="I315" s="157"/>
      <c r="J315" s="153">
        <v>0</v>
      </c>
      <c r="K315" s="153">
        <v>300000</v>
      </c>
      <c r="L315" s="153">
        <v>300000</v>
      </c>
      <c r="M315" s="153" t="s">
        <v>586</v>
      </c>
      <c r="N315" s="165" t="s">
        <v>697</v>
      </c>
    </row>
    <row r="316" spans="2:14" ht="15.75" thickBot="1" x14ac:dyDescent="0.3">
      <c r="B316" s="148"/>
      <c r="C316" s="153">
        <v>4</v>
      </c>
      <c r="D316" s="153" t="s">
        <v>698</v>
      </c>
      <c r="E316" s="159">
        <v>0</v>
      </c>
      <c r="F316" s="159">
        <v>0</v>
      </c>
      <c r="G316" s="159">
        <v>0</v>
      </c>
      <c r="H316" s="159">
        <v>0</v>
      </c>
      <c r="I316" s="157"/>
      <c r="J316" s="153">
        <v>0</v>
      </c>
      <c r="K316" s="153">
        <v>10000</v>
      </c>
      <c r="L316" s="153">
        <v>0</v>
      </c>
      <c r="M316" s="153" t="s">
        <v>586</v>
      </c>
      <c r="N316" s="164"/>
    </row>
    <row r="317" spans="2:14" ht="15.75" thickBot="1" x14ac:dyDescent="0.3">
      <c r="B317" s="148"/>
      <c r="C317" s="153">
        <v>5</v>
      </c>
      <c r="D317" s="153" t="s">
        <v>699</v>
      </c>
      <c r="E317" s="159">
        <v>0</v>
      </c>
      <c r="F317" s="159">
        <v>0</v>
      </c>
      <c r="G317" s="159">
        <v>0</v>
      </c>
      <c r="H317" s="159">
        <v>0</v>
      </c>
      <c r="I317" s="157"/>
      <c r="J317" s="153">
        <v>0</v>
      </c>
      <c r="K317" s="153">
        <v>1000</v>
      </c>
      <c r="L317" s="153">
        <v>0</v>
      </c>
      <c r="M317" s="153" t="s">
        <v>586</v>
      </c>
      <c r="N317" s="164"/>
    </row>
    <row r="318" spans="2:14" ht="15.75" thickBot="1" x14ac:dyDescent="0.3">
      <c r="B318" s="148"/>
      <c r="C318" s="153">
        <v>6</v>
      </c>
      <c r="D318" s="153" t="s">
        <v>700</v>
      </c>
      <c r="E318" s="159">
        <v>0</v>
      </c>
      <c r="F318" s="159">
        <v>0</v>
      </c>
      <c r="G318" s="159">
        <v>0</v>
      </c>
      <c r="H318" s="159">
        <v>0</v>
      </c>
      <c r="I318" s="157"/>
      <c r="J318" s="153">
        <v>0</v>
      </c>
      <c r="K318" s="153">
        <v>600000</v>
      </c>
      <c r="L318" s="153">
        <v>600000</v>
      </c>
      <c r="M318" s="153" t="s">
        <v>586</v>
      </c>
      <c r="N318" s="165" t="s">
        <v>701</v>
      </c>
    </row>
    <row r="319" spans="2:14" ht="15.75" thickBot="1" x14ac:dyDescent="0.3">
      <c r="B319" s="148"/>
      <c r="C319" s="153">
        <v>7</v>
      </c>
      <c r="D319" s="153" t="s">
        <v>702</v>
      </c>
      <c r="E319" s="159">
        <v>0</v>
      </c>
      <c r="F319" s="159">
        <v>0</v>
      </c>
      <c r="G319" s="159">
        <v>0</v>
      </c>
      <c r="H319" s="159">
        <v>0</v>
      </c>
      <c r="I319" s="157"/>
      <c r="J319" s="153">
        <v>0</v>
      </c>
      <c r="K319" s="153">
        <v>50000</v>
      </c>
      <c r="L319" s="153">
        <v>0</v>
      </c>
      <c r="M319" s="153" t="s">
        <v>586</v>
      </c>
      <c r="N319" s="164"/>
    </row>
    <row r="320" spans="2:14" ht="15.75" thickBot="1" x14ac:dyDescent="0.3">
      <c r="B320" s="148"/>
      <c r="C320" s="153">
        <v>8</v>
      </c>
      <c r="D320" s="153" t="s">
        <v>703</v>
      </c>
      <c r="E320" s="159">
        <v>0</v>
      </c>
      <c r="F320" s="159">
        <v>0</v>
      </c>
      <c r="G320" s="159">
        <v>0</v>
      </c>
      <c r="H320" s="159">
        <v>0</v>
      </c>
      <c r="I320" s="157"/>
      <c r="J320" s="153">
        <v>0</v>
      </c>
      <c r="K320" s="153">
        <v>20000</v>
      </c>
      <c r="L320" s="153">
        <v>0</v>
      </c>
      <c r="M320" s="153" t="s">
        <v>586</v>
      </c>
      <c r="N320" s="164"/>
    </row>
    <row r="321" spans="2:14" ht="15.75" thickBot="1" x14ac:dyDescent="0.3">
      <c r="B321" s="148"/>
      <c r="C321" s="153">
        <v>9</v>
      </c>
      <c r="D321" s="153" t="s">
        <v>704</v>
      </c>
      <c r="E321" s="159">
        <v>0</v>
      </c>
      <c r="F321" s="159">
        <v>0</v>
      </c>
      <c r="G321" s="159">
        <v>0</v>
      </c>
      <c r="H321" s="159">
        <v>0</v>
      </c>
      <c r="I321" s="157"/>
      <c r="J321" s="153">
        <v>0</v>
      </c>
      <c r="K321" s="153">
        <v>100000</v>
      </c>
      <c r="L321" s="153">
        <v>100000</v>
      </c>
      <c r="M321" s="153" t="s">
        <v>586</v>
      </c>
      <c r="N321" s="164"/>
    </row>
    <row r="322" spans="2:14" ht="15.75" thickBot="1" x14ac:dyDescent="0.3">
      <c r="B322" s="148"/>
      <c r="C322" s="153">
        <v>10</v>
      </c>
      <c r="D322" s="153" t="s">
        <v>705</v>
      </c>
      <c r="E322" s="159">
        <v>0</v>
      </c>
      <c r="F322" s="159">
        <v>0</v>
      </c>
      <c r="G322" s="159">
        <v>0</v>
      </c>
      <c r="H322" s="159">
        <v>0</v>
      </c>
      <c r="I322" s="157"/>
      <c r="J322" s="153">
        <v>0</v>
      </c>
      <c r="K322" s="153">
        <v>200000</v>
      </c>
      <c r="L322" s="153">
        <v>200000</v>
      </c>
      <c r="M322" s="153" t="s">
        <v>586</v>
      </c>
      <c r="N322" s="164"/>
    </row>
    <row r="323" spans="2:14" ht="15.75" thickBot="1" x14ac:dyDescent="0.3">
      <c r="B323" s="148"/>
      <c r="C323" s="153">
        <v>11</v>
      </c>
      <c r="D323" s="153" t="s">
        <v>706</v>
      </c>
      <c r="E323" s="159">
        <v>0</v>
      </c>
      <c r="F323" s="159">
        <v>0</v>
      </c>
      <c r="G323" s="159">
        <v>0</v>
      </c>
      <c r="H323" s="159">
        <v>0</v>
      </c>
      <c r="I323" s="157"/>
      <c r="J323" s="153">
        <v>0</v>
      </c>
      <c r="K323" s="153">
        <v>12000</v>
      </c>
      <c r="L323" s="153">
        <v>12000</v>
      </c>
      <c r="M323" s="153" t="s">
        <v>586</v>
      </c>
      <c r="N323" s="164"/>
    </row>
    <row r="324" spans="2:14" ht="15.75" thickBot="1" x14ac:dyDescent="0.3">
      <c r="B324" s="148"/>
      <c r="C324" s="153">
        <v>12</v>
      </c>
      <c r="D324" s="153" t="s">
        <v>707</v>
      </c>
      <c r="E324" s="159">
        <v>0</v>
      </c>
      <c r="F324" s="159">
        <v>0</v>
      </c>
      <c r="G324" s="159">
        <v>0</v>
      </c>
      <c r="H324" s="159">
        <v>0</v>
      </c>
      <c r="I324" s="157"/>
      <c r="J324" s="153">
        <v>0</v>
      </c>
      <c r="K324" s="153">
        <v>15000</v>
      </c>
      <c r="L324" s="153">
        <v>15000</v>
      </c>
      <c r="M324" s="153" t="s">
        <v>586</v>
      </c>
      <c r="N324" s="164"/>
    </row>
    <row r="325" spans="2:14" ht="15.75" thickBot="1" x14ac:dyDescent="0.3">
      <c r="B325" s="148"/>
      <c r="C325" s="153">
        <v>13</v>
      </c>
      <c r="D325" s="153" t="s">
        <v>708</v>
      </c>
      <c r="E325" s="159">
        <v>0</v>
      </c>
      <c r="F325" s="159">
        <v>0</v>
      </c>
      <c r="G325" s="159">
        <v>0</v>
      </c>
      <c r="H325" s="159">
        <v>0</v>
      </c>
      <c r="I325" s="157"/>
      <c r="J325" s="153">
        <v>0</v>
      </c>
      <c r="K325" s="153">
        <v>0</v>
      </c>
      <c r="L325" s="153">
        <v>0</v>
      </c>
      <c r="M325" s="153" t="s">
        <v>586</v>
      </c>
      <c r="N325" s="164"/>
    </row>
    <row r="326" spans="2:14" ht="15.75" thickBot="1" x14ac:dyDescent="0.3">
      <c r="B326" s="148"/>
      <c r="C326" s="153">
        <v>14</v>
      </c>
      <c r="D326" s="153" t="s">
        <v>709</v>
      </c>
      <c r="E326" s="159">
        <v>0</v>
      </c>
      <c r="F326" s="159">
        <v>0</v>
      </c>
      <c r="G326" s="159">
        <v>0</v>
      </c>
      <c r="H326" s="159">
        <v>0</v>
      </c>
      <c r="I326" s="157"/>
      <c r="J326" s="153">
        <v>0</v>
      </c>
      <c r="K326" s="153">
        <v>100000</v>
      </c>
      <c r="L326" s="153">
        <v>100000</v>
      </c>
      <c r="M326" s="153" t="s">
        <v>586</v>
      </c>
      <c r="N326" s="164"/>
    </row>
    <row r="327" spans="2:14" ht="15.75" thickBot="1" x14ac:dyDescent="0.3">
      <c r="B327" s="148"/>
      <c r="C327" s="153">
        <v>15</v>
      </c>
      <c r="D327" s="153" t="s">
        <v>710</v>
      </c>
      <c r="E327" s="159">
        <v>0</v>
      </c>
      <c r="F327" s="159">
        <v>0</v>
      </c>
      <c r="G327" s="159">
        <v>0</v>
      </c>
      <c r="H327" s="159">
        <v>0</v>
      </c>
      <c r="I327" s="157"/>
      <c r="J327" s="153">
        <v>0</v>
      </c>
      <c r="K327" s="153">
        <v>100000</v>
      </c>
      <c r="L327" s="153">
        <v>100000</v>
      </c>
      <c r="M327" s="153" t="s">
        <v>586</v>
      </c>
      <c r="N327" s="164"/>
    </row>
    <row r="328" spans="2:14" ht="15.75" thickBot="1" x14ac:dyDescent="0.3">
      <c r="B328" s="148"/>
      <c r="C328" s="153">
        <v>16</v>
      </c>
      <c r="D328" s="153" t="s">
        <v>711</v>
      </c>
      <c r="E328" s="159">
        <v>0</v>
      </c>
      <c r="F328" s="159">
        <v>0</v>
      </c>
      <c r="G328" s="159">
        <v>0</v>
      </c>
      <c r="H328" s="159">
        <v>0</v>
      </c>
      <c r="I328" s="157"/>
      <c r="J328" s="153">
        <v>0</v>
      </c>
      <c r="K328" s="153">
        <v>10000</v>
      </c>
      <c r="L328" s="153">
        <v>10000</v>
      </c>
      <c r="M328" s="153" t="s">
        <v>586</v>
      </c>
      <c r="N328" s="164"/>
    </row>
    <row r="329" spans="2:14" ht="15.75" thickBot="1" x14ac:dyDescent="0.3">
      <c r="B329" s="148"/>
      <c r="C329" s="153">
        <v>17</v>
      </c>
      <c r="D329" s="153" t="s">
        <v>712</v>
      </c>
      <c r="E329" s="159">
        <v>0</v>
      </c>
      <c r="F329" s="159">
        <v>0</v>
      </c>
      <c r="G329" s="159">
        <v>0</v>
      </c>
      <c r="H329" s="159">
        <v>0</v>
      </c>
      <c r="I329" s="157"/>
      <c r="J329" s="153">
        <v>0</v>
      </c>
      <c r="K329" s="153">
        <v>0</v>
      </c>
      <c r="L329" s="153">
        <v>0</v>
      </c>
      <c r="M329" s="153" t="s">
        <v>586</v>
      </c>
      <c r="N329" s="164"/>
    </row>
    <row r="330" spans="2:14" ht="15.75" thickBot="1" x14ac:dyDescent="0.3">
      <c r="B330" s="148"/>
      <c r="C330" s="153">
        <v>18</v>
      </c>
      <c r="D330" s="153" t="s">
        <v>713</v>
      </c>
      <c r="E330" s="159">
        <v>0</v>
      </c>
      <c r="F330" s="159">
        <v>0</v>
      </c>
      <c r="G330" s="159">
        <v>0</v>
      </c>
      <c r="H330" s="159">
        <v>0</v>
      </c>
      <c r="I330" s="157"/>
      <c r="J330" s="153">
        <v>0</v>
      </c>
      <c r="K330" s="153">
        <v>60000</v>
      </c>
      <c r="L330" s="153">
        <v>60000</v>
      </c>
      <c r="M330" s="153" t="s">
        <v>586</v>
      </c>
      <c r="N330" s="165" t="s">
        <v>714</v>
      </c>
    </row>
    <row r="331" spans="2:14" ht="15.75" thickBot="1" x14ac:dyDescent="0.3">
      <c r="B331" s="148"/>
      <c r="C331" s="153">
        <v>19</v>
      </c>
      <c r="D331" s="153" t="s">
        <v>715</v>
      </c>
      <c r="E331" s="159">
        <v>0</v>
      </c>
      <c r="F331" s="159">
        <v>0</v>
      </c>
      <c r="G331" s="159">
        <v>0</v>
      </c>
      <c r="H331" s="159">
        <v>0</v>
      </c>
      <c r="I331" s="157"/>
      <c r="J331" s="153">
        <v>0</v>
      </c>
      <c r="K331" s="153">
        <v>9000</v>
      </c>
      <c r="L331" s="153">
        <v>9000</v>
      </c>
      <c r="M331" s="153" t="s">
        <v>586</v>
      </c>
      <c r="N331" s="164"/>
    </row>
    <row r="332" spans="2:14" ht="15.75" thickBot="1" x14ac:dyDescent="0.3">
      <c r="B332" s="148"/>
      <c r="C332" s="149">
        <v>20103001</v>
      </c>
      <c r="D332" s="149" t="s">
        <v>22</v>
      </c>
      <c r="E332" s="160">
        <v>188000</v>
      </c>
      <c r="F332" s="160">
        <v>300500</v>
      </c>
      <c r="G332" s="160">
        <v>291217.00699999998</v>
      </c>
      <c r="H332" s="160">
        <v>0</v>
      </c>
      <c r="I332" s="157"/>
      <c r="J332" s="149">
        <v>291217</v>
      </c>
      <c r="K332" s="149">
        <v>0</v>
      </c>
      <c r="L332" s="149">
        <v>300000</v>
      </c>
      <c r="M332" s="149" t="s">
        <v>586</v>
      </c>
      <c r="N332" s="162"/>
    </row>
    <row r="333" spans="2:14" ht="15.75" thickBot="1" x14ac:dyDescent="0.3">
      <c r="B333" s="148"/>
      <c r="C333" s="149">
        <v>23603002</v>
      </c>
      <c r="D333" s="149" t="s">
        <v>63</v>
      </c>
      <c r="E333" s="160">
        <v>75</v>
      </c>
      <c r="F333" s="160">
        <v>75</v>
      </c>
      <c r="G333" s="160">
        <v>49.34</v>
      </c>
      <c r="H333" s="160">
        <v>0</v>
      </c>
      <c r="I333" s="157"/>
      <c r="J333" s="149">
        <v>49.34</v>
      </c>
      <c r="K333" s="149">
        <v>75</v>
      </c>
      <c r="L333" s="149">
        <v>75</v>
      </c>
      <c r="M333" s="149" t="s">
        <v>586</v>
      </c>
      <c r="N333" s="162"/>
    </row>
    <row r="334" spans="2:14" ht="15.75" thickBot="1" x14ac:dyDescent="0.3">
      <c r="B334" s="148"/>
      <c r="C334" s="149">
        <v>26402002</v>
      </c>
      <c r="D334" s="149" t="s">
        <v>716</v>
      </c>
      <c r="E334" s="160">
        <v>20000</v>
      </c>
      <c r="F334" s="160">
        <v>20000</v>
      </c>
      <c r="G334" s="160">
        <v>0</v>
      </c>
      <c r="H334" s="160">
        <v>0</v>
      </c>
      <c r="I334" s="157"/>
      <c r="J334" s="149">
        <v>0</v>
      </c>
      <c r="K334" s="149">
        <v>0</v>
      </c>
      <c r="L334" s="149">
        <v>20000</v>
      </c>
      <c r="M334" s="149" t="s">
        <v>586</v>
      </c>
      <c r="N334" s="162"/>
    </row>
    <row r="335" spans="2:14" ht="15.75" thickBot="1" x14ac:dyDescent="0.3">
      <c r="B335" s="148"/>
      <c r="C335" s="149">
        <v>26404002</v>
      </c>
      <c r="D335" s="149" t="s">
        <v>717</v>
      </c>
      <c r="E335" s="160">
        <v>30000</v>
      </c>
      <c r="F335" s="160">
        <v>30000</v>
      </c>
      <c r="G335" s="160">
        <v>7690.8</v>
      </c>
      <c r="H335" s="160">
        <v>1378</v>
      </c>
      <c r="I335" s="157"/>
      <c r="J335" s="149">
        <v>7690.8</v>
      </c>
      <c r="K335" s="149">
        <v>0</v>
      </c>
      <c r="L335" s="149">
        <v>30000</v>
      </c>
      <c r="M335" s="149" t="s">
        <v>586</v>
      </c>
      <c r="N335" s="162"/>
    </row>
    <row r="336" spans="2:14" ht="15" thickBot="1" x14ac:dyDescent="0.25">
      <c r="B336" s="152"/>
      <c r="C336" s="37"/>
      <c r="D336" s="37"/>
      <c r="E336" s="159"/>
      <c r="F336" s="159"/>
      <c r="G336" s="159"/>
      <c r="H336" s="159"/>
      <c r="J336" s="37"/>
      <c r="K336" s="37"/>
      <c r="L336" s="37"/>
      <c r="M336" s="37"/>
      <c r="N336" s="163"/>
    </row>
    <row r="337" spans="2:14" ht="15.75" thickBot="1" x14ac:dyDescent="0.3">
      <c r="B337" s="148" t="s">
        <v>370</v>
      </c>
      <c r="C337" s="153">
        <v>1</v>
      </c>
      <c r="D337" s="153" t="s">
        <v>718</v>
      </c>
      <c r="E337" s="159">
        <v>0</v>
      </c>
      <c r="F337" s="159">
        <v>0</v>
      </c>
      <c r="G337" s="159">
        <v>0</v>
      </c>
      <c r="H337" s="159">
        <v>0</v>
      </c>
      <c r="I337" s="157"/>
      <c r="J337" s="153">
        <v>0</v>
      </c>
      <c r="K337" s="153">
        <v>2000</v>
      </c>
      <c r="L337" s="153">
        <v>0</v>
      </c>
      <c r="M337" s="153" t="s">
        <v>586</v>
      </c>
      <c r="N337" s="164"/>
    </row>
    <row r="338" spans="2:14" ht="15.75" thickBot="1" x14ac:dyDescent="0.3">
      <c r="B338" s="148"/>
      <c r="C338" s="153">
        <v>2</v>
      </c>
      <c r="D338" s="153" t="s">
        <v>719</v>
      </c>
      <c r="E338" s="159">
        <v>0</v>
      </c>
      <c r="F338" s="159">
        <v>0</v>
      </c>
      <c r="G338" s="159">
        <v>0</v>
      </c>
      <c r="H338" s="159">
        <v>0</v>
      </c>
      <c r="I338" s="157"/>
      <c r="J338" s="153">
        <v>0</v>
      </c>
      <c r="K338" s="153">
        <v>50000</v>
      </c>
      <c r="L338" s="153">
        <v>0</v>
      </c>
      <c r="M338" s="153" t="s">
        <v>586</v>
      </c>
      <c r="N338" s="164"/>
    </row>
    <row r="339" spans="2:14" ht="15.75" thickBot="1" x14ac:dyDescent="0.3">
      <c r="B339" s="148"/>
      <c r="C339" s="153">
        <v>3</v>
      </c>
      <c r="D339" s="153" t="s">
        <v>720</v>
      </c>
      <c r="E339" s="159">
        <v>0</v>
      </c>
      <c r="F339" s="159">
        <v>0</v>
      </c>
      <c r="G339" s="159">
        <v>0</v>
      </c>
      <c r="H339" s="159">
        <v>0</v>
      </c>
      <c r="I339" s="157"/>
      <c r="J339" s="153">
        <v>0</v>
      </c>
      <c r="K339" s="153">
        <v>5000</v>
      </c>
      <c r="L339" s="153">
        <v>0</v>
      </c>
      <c r="M339" s="153" t="s">
        <v>602</v>
      </c>
      <c r="N339" s="164"/>
    </row>
    <row r="340" spans="2:14" ht="15.75" thickBot="1" x14ac:dyDescent="0.3">
      <c r="B340" s="148"/>
      <c r="C340" s="149">
        <v>20101001</v>
      </c>
      <c r="D340" s="149" t="s">
        <v>15</v>
      </c>
      <c r="E340" s="160">
        <v>48000</v>
      </c>
      <c r="F340" s="160">
        <v>48000</v>
      </c>
      <c r="G340" s="160">
        <v>41289.599999999999</v>
      </c>
      <c r="H340" s="160">
        <v>0</v>
      </c>
      <c r="I340" s="157"/>
      <c r="J340" s="149">
        <v>41289.597999999998</v>
      </c>
      <c r="K340" s="149">
        <v>0</v>
      </c>
      <c r="L340" s="149">
        <v>50000</v>
      </c>
      <c r="M340" s="149" t="s">
        <v>586</v>
      </c>
      <c r="N340" s="162"/>
    </row>
    <row r="341" spans="2:14" ht="15.75" thickBot="1" x14ac:dyDescent="0.3">
      <c r="B341" s="148"/>
      <c r="C341" s="149">
        <v>20103001</v>
      </c>
      <c r="D341" s="149" t="s">
        <v>22</v>
      </c>
      <c r="E341" s="160">
        <v>48000</v>
      </c>
      <c r="F341" s="160">
        <v>48000</v>
      </c>
      <c r="G341" s="160">
        <v>42821.438999999998</v>
      </c>
      <c r="H341" s="160">
        <v>0</v>
      </c>
      <c r="I341" s="157"/>
      <c r="J341" s="149">
        <v>42821.438000000002</v>
      </c>
      <c r="K341" s="149">
        <v>0</v>
      </c>
      <c r="L341" s="149">
        <v>50000</v>
      </c>
      <c r="M341" s="149" t="s">
        <v>586</v>
      </c>
      <c r="N341" s="162"/>
    </row>
    <row r="342" spans="2:14" ht="15.75" thickBot="1" x14ac:dyDescent="0.3">
      <c r="B342" s="148"/>
      <c r="C342" s="149">
        <v>23603002</v>
      </c>
      <c r="D342" s="149" t="s">
        <v>63</v>
      </c>
      <c r="E342" s="160">
        <v>75</v>
      </c>
      <c r="F342" s="160">
        <v>75</v>
      </c>
      <c r="G342" s="160">
        <v>75</v>
      </c>
      <c r="H342" s="160">
        <v>0</v>
      </c>
      <c r="I342" s="157"/>
      <c r="J342" s="149">
        <v>75</v>
      </c>
      <c r="K342" s="149">
        <v>0</v>
      </c>
      <c r="L342" s="149">
        <v>75</v>
      </c>
      <c r="M342" s="149" t="s">
        <v>586</v>
      </c>
      <c r="N342" s="162"/>
    </row>
    <row r="343" spans="2:14" ht="15" thickBot="1" x14ac:dyDescent="0.25">
      <c r="B343" s="152"/>
      <c r="C343" s="37"/>
      <c r="D343" s="37"/>
      <c r="E343" s="159"/>
      <c r="F343" s="159"/>
      <c r="G343" s="159"/>
      <c r="H343" s="159"/>
      <c r="J343" s="37"/>
      <c r="K343" s="37"/>
      <c r="L343" s="37"/>
      <c r="M343" s="37"/>
      <c r="N343" s="163"/>
    </row>
    <row r="344" spans="2:14" ht="15.75" thickBot="1" x14ac:dyDescent="0.3">
      <c r="B344" s="148" t="s">
        <v>721</v>
      </c>
      <c r="C344" s="153">
        <v>1</v>
      </c>
      <c r="D344" s="154"/>
      <c r="E344" s="159">
        <v>0</v>
      </c>
      <c r="F344" s="159">
        <v>0</v>
      </c>
      <c r="G344" s="159">
        <v>0</v>
      </c>
      <c r="H344" s="159">
        <v>0</v>
      </c>
      <c r="I344" s="157"/>
      <c r="J344" s="153">
        <v>0</v>
      </c>
      <c r="K344" s="153">
        <v>1300000</v>
      </c>
      <c r="L344" s="153">
        <v>1300000</v>
      </c>
      <c r="M344" s="153" t="s">
        <v>586</v>
      </c>
      <c r="N344" s="165" t="s">
        <v>722</v>
      </c>
    </row>
    <row r="345" spans="2:14" ht="27" thickBot="1" x14ac:dyDescent="0.3">
      <c r="B345" s="148"/>
      <c r="C345" s="153">
        <v>2</v>
      </c>
      <c r="D345" s="153" t="s">
        <v>723</v>
      </c>
      <c r="E345" s="159">
        <v>0</v>
      </c>
      <c r="F345" s="159">
        <v>0</v>
      </c>
      <c r="G345" s="159">
        <v>0</v>
      </c>
      <c r="H345" s="159">
        <v>0</v>
      </c>
      <c r="I345" s="157"/>
      <c r="J345" s="153">
        <v>0</v>
      </c>
      <c r="K345" s="153">
        <v>250000</v>
      </c>
      <c r="L345" s="153">
        <v>250000</v>
      </c>
      <c r="M345" s="153" t="s">
        <v>586</v>
      </c>
      <c r="N345" s="164"/>
    </row>
    <row r="346" spans="2:14" ht="15" thickBot="1" x14ac:dyDescent="0.25">
      <c r="B346" s="152"/>
      <c r="C346" s="37"/>
      <c r="D346" s="37"/>
      <c r="E346" s="159"/>
      <c r="F346" s="159"/>
      <c r="G346" s="159"/>
      <c r="H346" s="159"/>
      <c r="J346" s="37"/>
      <c r="K346" s="37"/>
      <c r="L346" s="37"/>
      <c r="M346" s="37"/>
      <c r="N346" s="163"/>
    </row>
    <row r="347" spans="2:14" ht="15.75" thickBot="1" x14ac:dyDescent="0.3">
      <c r="B347" s="148" t="s">
        <v>205</v>
      </c>
      <c r="C347" s="149">
        <v>20103001</v>
      </c>
      <c r="D347" s="149" t="s">
        <v>22</v>
      </c>
      <c r="E347" s="160">
        <v>30000</v>
      </c>
      <c r="F347" s="160">
        <v>30000</v>
      </c>
      <c r="G347" s="160">
        <v>16945.909</v>
      </c>
      <c r="H347" s="160">
        <v>0</v>
      </c>
      <c r="I347" s="157"/>
      <c r="J347" s="149">
        <v>16945.91</v>
      </c>
      <c r="K347" s="149">
        <v>0</v>
      </c>
      <c r="L347" s="149">
        <v>30000</v>
      </c>
      <c r="M347" s="149" t="s">
        <v>586</v>
      </c>
      <c r="N347" s="162"/>
    </row>
    <row r="348" spans="2:14" ht="15.75" thickBot="1" x14ac:dyDescent="0.3">
      <c r="B348" s="148"/>
      <c r="C348" s="149">
        <v>22601001</v>
      </c>
      <c r="D348" s="149" t="s">
        <v>243</v>
      </c>
      <c r="E348" s="160">
        <v>1000</v>
      </c>
      <c r="F348" s="160">
        <v>1000</v>
      </c>
      <c r="G348" s="160">
        <v>0</v>
      </c>
      <c r="H348" s="160">
        <v>0</v>
      </c>
      <c r="I348" s="157"/>
      <c r="J348" s="149">
        <v>0</v>
      </c>
      <c r="K348" s="149">
        <v>32</v>
      </c>
      <c r="L348" s="149">
        <v>1000</v>
      </c>
      <c r="M348" s="149" t="s">
        <v>586</v>
      </c>
      <c r="N348" s="162"/>
    </row>
    <row r="349" spans="2:14" ht="15.75" thickBot="1" x14ac:dyDescent="0.3">
      <c r="B349" s="148"/>
      <c r="C349" s="149">
        <v>23603002</v>
      </c>
      <c r="D349" s="149" t="s">
        <v>63</v>
      </c>
      <c r="E349" s="160">
        <v>75</v>
      </c>
      <c r="F349" s="160">
        <v>75</v>
      </c>
      <c r="G349" s="160">
        <v>75</v>
      </c>
      <c r="H349" s="160">
        <v>0</v>
      </c>
      <c r="I349" s="157"/>
      <c r="J349" s="149">
        <v>75</v>
      </c>
      <c r="K349" s="149">
        <v>1</v>
      </c>
      <c r="L349" s="149">
        <v>75</v>
      </c>
      <c r="M349" s="149" t="s">
        <v>586</v>
      </c>
      <c r="N349" s="162"/>
    </row>
    <row r="350" spans="2:14" ht="15.75" thickBot="1" x14ac:dyDescent="0.3">
      <c r="B350" s="148"/>
      <c r="C350" s="149">
        <v>23615001</v>
      </c>
      <c r="D350" s="149" t="s">
        <v>69</v>
      </c>
      <c r="E350" s="160">
        <v>1000</v>
      </c>
      <c r="F350" s="160">
        <v>1000</v>
      </c>
      <c r="G350" s="160">
        <v>0</v>
      </c>
      <c r="H350" s="160">
        <v>0</v>
      </c>
      <c r="I350" s="157"/>
      <c r="J350" s="149">
        <v>0</v>
      </c>
      <c r="K350" s="149">
        <v>2</v>
      </c>
      <c r="L350" s="149">
        <v>1000</v>
      </c>
      <c r="M350" s="149" t="s">
        <v>586</v>
      </c>
      <c r="N350" s="162"/>
    </row>
    <row r="351" spans="2:14" ht="15.75" thickBot="1" x14ac:dyDescent="0.3">
      <c r="B351" s="148"/>
      <c r="C351" s="149">
        <v>25301002</v>
      </c>
      <c r="D351" s="149" t="s">
        <v>93</v>
      </c>
      <c r="E351" s="160">
        <v>10000</v>
      </c>
      <c r="F351" s="160">
        <v>10000</v>
      </c>
      <c r="G351" s="160">
        <v>0</v>
      </c>
      <c r="H351" s="160">
        <v>0</v>
      </c>
      <c r="I351" s="157"/>
      <c r="J351" s="149">
        <v>0</v>
      </c>
      <c r="K351" s="149">
        <v>30</v>
      </c>
      <c r="L351" s="149">
        <v>10000</v>
      </c>
      <c r="M351" s="149" t="s">
        <v>586</v>
      </c>
      <c r="N351" s="162"/>
    </row>
    <row r="352" spans="2:14" ht="15" thickBot="1" x14ac:dyDescent="0.25">
      <c r="B352" s="152"/>
      <c r="C352" s="37"/>
      <c r="D352" s="37"/>
      <c r="E352" s="159"/>
      <c r="F352" s="159"/>
      <c r="G352" s="159"/>
      <c r="H352" s="159"/>
      <c r="J352" s="37"/>
      <c r="K352" s="37"/>
      <c r="L352" s="37"/>
      <c r="M352" s="37"/>
      <c r="N352" s="163"/>
    </row>
    <row r="353" spans="2:14" ht="15.75" thickBot="1" x14ac:dyDescent="0.3">
      <c r="B353" s="148" t="s">
        <v>375</v>
      </c>
      <c r="C353" s="149">
        <v>20101002</v>
      </c>
      <c r="D353" s="149" t="s">
        <v>16</v>
      </c>
      <c r="E353" s="160">
        <v>1400000</v>
      </c>
      <c r="F353" s="160">
        <v>1400000</v>
      </c>
      <c r="G353" s="160">
        <v>1161778.814</v>
      </c>
      <c r="H353" s="160">
        <v>0</v>
      </c>
      <c r="I353" s="157"/>
      <c r="J353" s="149">
        <v>1161778.8</v>
      </c>
      <c r="K353" s="149">
        <v>1400000</v>
      </c>
      <c r="L353" s="149">
        <v>1400000</v>
      </c>
      <c r="M353" s="149" t="s">
        <v>586</v>
      </c>
      <c r="N353" s="162"/>
    </row>
    <row r="354" spans="2:14" ht="15.75" thickBot="1" x14ac:dyDescent="0.3">
      <c r="B354" s="148"/>
      <c r="C354" s="149">
        <v>20101003</v>
      </c>
      <c r="D354" s="149" t="s">
        <v>17</v>
      </c>
      <c r="E354" s="160">
        <v>75000</v>
      </c>
      <c r="F354" s="160">
        <v>75000</v>
      </c>
      <c r="G354" s="160">
        <v>29265.023000000001</v>
      </c>
      <c r="H354" s="160">
        <v>0</v>
      </c>
      <c r="I354" s="157"/>
      <c r="J354" s="149">
        <v>29265.023000000001</v>
      </c>
      <c r="K354" s="149">
        <v>75000</v>
      </c>
      <c r="L354" s="149">
        <v>75000</v>
      </c>
      <c r="M354" s="149" t="s">
        <v>586</v>
      </c>
      <c r="N354" s="162"/>
    </row>
    <row r="355" spans="2:14" ht="15.75" thickBot="1" x14ac:dyDescent="0.3">
      <c r="B355" s="148"/>
      <c r="C355" s="149">
        <v>20101005</v>
      </c>
      <c r="D355" s="149" t="s">
        <v>377</v>
      </c>
      <c r="E355" s="160">
        <v>3000</v>
      </c>
      <c r="F355" s="160">
        <v>3000</v>
      </c>
      <c r="G355" s="160">
        <v>3000</v>
      </c>
      <c r="H355" s="160">
        <v>0</v>
      </c>
      <c r="I355" s="157"/>
      <c r="J355" s="149">
        <v>3000</v>
      </c>
      <c r="K355" s="149">
        <v>3000</v>
      </c>
      <c r="L355" s="149">
        <v>3000</v>
      </c>
      <c r="M355" s="149" t="s">
        <v>586</v>
      </c>
      <c r="N355" s="162"/>
    </row>
    <row r="356" spans="2:14" ht="15.75" thickBot="1" x14ac:dyDescent="0.3">
      <c r="B356" s="148"/>
      <c r="C356" s="149">
        <v>20101008</v>
      </c>
      <c r="D356" s="149" t="s">
        <v>20</v>
      </c>
      <c r="E356" s="160">
        <v>150000</v>
      </c>
      <c r="F356" s="160">
        <v>150000</v>
      </c>
      <c r="G356" s="160">
        <v>84192.6</v>
      </c>
      <c r="H356" s="160">
        <v>0</v>
      </c>
      <c r="I356" s="157"/>
      <c r="J356" s="149">
        <v>84192.6</v>
      </c>
      <c r="K356" s="149">
        <v>150000</v>
      </c>
      <c r="L356" s="149">
        <v>150000</v>
      </c>
      <c r="M356" s="149" t="s">
        <v>586</v>
      </c>
      <c r="N356" s="162"/>
    </row>
    <row r="357" spans="2:14" ht="15.75" thickBot="1" x14ac:dyDescent="0.3">
      <c r="B357" s="148"/>
      <c r="C357" s="149">
        <v>20101009</v>
      </c>
      <c r="D357" s="149" t="s">
        <v>474</v>
      </c>
      <c r="E357" s="160">
        <v>25000</v>
      </c>
      <c r="F357" s="160">
        <v>25000</v>
      </c>
      <c r="G357" s="160">
        <v>14085</v>
      </c>
      <c r="H357" s="160">
        <v>0</v>
      </c>
      <c r="I357" s="157"/>
      <c r="J357" s="149">
        <v>14085</v>
      </c>
      <c r="K357" s="149">
        <v>25000</v>
      </c>
      <c r="L357" s="149">
        <v>25000</v>
      </c>
      <c r="M357" s="149" t="s">
        <v>586</v>
      </c>
      <c r="N357" s="162"/>
    </row>
    <row r="358" spans="2:14" ht="15.75" thickBot="1" x14ac:dyDescent="0.3">
      <c r="B358" s="148"/>
      <c r="C358" s="149">
        <v>20103002</v>
      </c>
      <c r="D358" s="149" t="s">
        <v>23</v>
      </c>
      <c r="E358" s="160">
        <v>60000</v>
      </c>
      <c r="F358" s="160">
        <v>60000</v>
      </c>
      <c r="G358" s="160">
        <v>36157.392</v>
      </c>
      <c r="H358" s="160">
        <v>0</v>
      </c>
      <c r="I358" s="157"/>
      <c r="J358" s="149">
        <v>36157.39</v>
      </c>
      <c r="K358" s="149">
        <v>60000</v>
      </c>
      <c r="L358" s="149">
        <v>60000</v>
      </c>
      <c r="M358" s="149" t="s">
        <v>586</v>
      </c>
      <c r="N358" s="162"/>
    </row>
    <row r="359" spans="2:14" ht="15.75" thickBot="1" x14ac:dyDescent="0.3">
      <c r="B359" s="148"/>
      <c r="C359" s="149">
        <v>20103003</v>
      </c>
      <c r="D359" s="149" t="s">
        <v>24</v>
      </c>
      <c r="E359" s="160">
        <v>70000</v>
      </c>
      <c r="F359" s="160">
        <v>70000</v>
      </c>
      <c r="G359" s="160">
        <v>34631.877999999997</v>
      </c>
      <c r="H359" s="160">
        <v>0</v>
      </c>
      <c r="I359" s="157"/>
      <c r="J359" s="149">
        <v>34631.879999999997</v>
      </c>
      <c r="K359" s="149">
        <v>70000</v>
      </c>
      <c r="L359" s="149">
        <v>70000</v>
      </c>
      <c r="M359" s="149" t="s">
        <v>586</v>
      </c>
      <c r="N359" s="162"/>
    </row>
    <row r="360" spans="2:14" ht="15.75" thickBot="1" x14ac:dyDescent="0.3">
      <c r="B360" s="148"/>
      <c r="C360" s="149">
        <v>20117002</v>
      </c>
      <c r="D360" s="149" t="s">
        <v>31</v>
      </c>
      <c r="E360" s="160">
        <v>10000</v>
      </c>
      <c r="F360" s="160">
        <v>10000</v>
      </c>
      <c r="G360" s="160">
        <v>4215</v>
      </c>
      <c r="H360" s="160">
        <v>0</v>
      </c>
      <c r="I360" s="157"/>
      <c r="J360" s="149">
        <v>4215</v>
      </c>
      <c r="K360" s="149">
        <v>10000</v>
      </c>
      <c r="L360" s="149">
        <v>10000</v>
      </c>
      <c r="M360" s="149" t="s">
        <v>586</v>
      </c>
      <c r="N360" s="162"/>
    </row>
    <row r="361" spans="2:14" ht="15.75" thickBot="1" x14ac:dyDescent="0.3">
      <c r="B361" s="148"/>
      <c r="C361" s="149">
        <v>25101007</v>
      </c>
      <c r="D361" s="149" t="s">
        <v>88</v>
      </c>
      <c r="E361" s="160">
        <v>300000</v>
      </c>
      <c r="F361" s="160">
        <v>594000</v>
      </c>
      <c r="G361" s="160">
        <v>593529.59999999998</v>
      </c>
      <c r="H361" s="160">
        <v>0</v>
      </c>
      <c r="I361" s="157"/>
      <c r="J361" s="149">
        <v>593529.59999999998</v>
      </c>
      <c r="K361" s="149">
        <v>300000</v>
      </c>
      <c r="L361" s="149">
        <v>0</v>
      </c>
      <c r="M361" s="149" t="s">
        <v>586</v>
      </c>
      <c r="N361" s="162"/>
    </row>
    <row r="362" spans="2:14" ht="15.75" thickBot="1" x14ac:dyDescent="0.3">
      <c r="B362" s="148"/>
      <c r="C362" s="149">
        <v>25101008</v>
      </c>
      <c r="D362" s="149" t="s">
        <v>89</v>
      </c>
      <c r="E362" s="160">
        <v>150000</v>
      </c>
      <c r="F362" s="160">
        <v>133000</v>
      </c>
      <c r="G362" s="160">
        <v>128943</v>
      </c>
      <c r="H362" s="160">
        <v>0</v>
      </c>
      <c r="I362" s="157"/>
      <c r="J362" s="149">
        <v>128943</v>
      </c>
      <c r="K362" s="149">
        <v>150000</v>
      </c>
      <c r="L362" s="149">
        <v>150000</v>
      </c>
      <c r="M362" s="149" t="s">
        <v>586</v>
      </c>
      <c r="N362" s="162"/>
    </row>
    <row r="363" spans="2:14" ht="15.75" thickBot="1" x14ac:dyDescent="0.3">
      <c r="B363" s="148"/>
      <c r="C363" s="149">
        <v>25101009</v>
      </c>
      <c r="D363" s="149" t="s">
        <v>424</v>
      </c>
      <c r="E363" s="160">
        <v>180000</v>
      </c>
      <c r="F363" s="160">
        <v>207000</v>
      </c>
      <c r="G363" s="160">
        <v>205378</v>
      </c>
      <c r="H363" s="160">
        <v>0</v>
      </c>
      <c r="I363" s="157"/>
      <c r="J363" s="149">
        <v>205378</v>
      </c>
      <c r="K363" s="149">
        <v>180000</v>
      </c>
      <c r="L363" s="149">
        <v>180000</v>
      </c>
      <c r="M363" s="149" t="s">
        <v>586</v>
      </c>
      <c r="N363" s="162"/>
    </row>
    <row r="364" spans="2:14" ht="15" thickBot="1" x14ac:dyDescent="0.25">
      <c r="B364" s="152"/>
      <c r="C364" s="37"/>
      <c r="D364" s="37"/>
      <c r="E364" s="159"/>
      <c r="F364" s="159"/>
      <c r="G364" s="159"/>
      <c r="H364" s="159"/>
      <c r="J364" s="37"/>
      <c r="K364" s="37"/>
      <c r="L364" s="37"/>
      <c r="M364" s="37"/>
      <c r="N364" s="163"/>
    </row>
    <row r="365" spans="2:14" ht="15.75" thickBot="1" x14ac:dyDescent="0.3">
      <c r="B365" s="148" t="s">
        <v>724</v>
      </c>
      <c r="C365" s="149">
        <v>20101007</v>
      </c>
      <c r="D365" s="149" t="s">
        <v>19</v>
      </c>
      <c r="E365" s="160">
        <v>400000</v>
      </c>
      <c r="F365" s="160">
        <v>352000</v>
      </c>
      <c r="G365" s="160">
        <v>86093.55</v>
      </c>
      <c r="H365" s="160">
        <v>0</v>
      </c>
      <c r="I365" s="157"/>
      <c r="J365" s="149">
        <v>86093.55</v>
      </c>
      <c r="K365" s="149">
        <v>400000</v>
      </c>
      <c r="L365" s="149">
        <v>400000</v>
      </c>
      <c r="M365" s="149" t="s">
        <v>586</v>
      </c>
      <c r="N365" s="162"/>
    </row>
    <row r="366" spans="2:14" ht="15.75" thickBot="1" x14ac:dyDescent="0.3">
      <c r="B366" s="148"/>
      <c r="C366" s="149">
        <v>20103006</v>
      </c>
      <c r="D366" s="149" t="s">
        <v>25</v>
      </c>
      <c r="E366" s="160">
        <v>42606</v>
      </c>
      <c r="F366" s="160">
        <v>40606</v>
      </c>
      <c r="G366" s="160">
        <v>39923.173000000003</v>
      </c>
      <c r="H366" s="160">
        <v>0</v>
      </c>
      <c r="I366" s="157"/>
      <c r="J366" s="149">
        <v>39923.17</v>
      </c>
      <c r="K366" s="149">
        <v>70000</v>
      </c>
      <c r="L366" s="149">
        <v>70000</v>
      </c>
      <c r="M366" s="149" t="s">
        <v>586</v>
      </c>
      <c r="N366" s="162"/>
    </row>
    <row r="367" spans="2:14" ht="15.75" thickBot="1" x14ac:dyDescent="0.3">
      <c r="B367" s="148"/>
      <c r="C367" s="149">
        <v>20116002</v>
      </c>
      <c r="D367" s="149" t="s">
        <v>26</v>
      </c>
      <c r="E367" s="160">
        <v>2406265</v>
      </c>
      <c r="F367" s="160">
        <v>2406265</v>
      </c>
      <c r="G367" s="160">
        <v>2406265</v>
      </c>
      <c r="H367" s="160">
        <v>0</v>
      </c>
      <c r="I367" s="157"/>
      <c r="J367" s="149">
        <v>2406265</v>
      </c>
      <c r="K367" s="149">
        <v>2535902</v>
      </c>
      <c r="L367" s="149">
        <v>2535902</v>
      </c>
      <c r="M367" s="149" t="s">
        <v>586</v>
      </c>
      <c r="N367" s="162"/>
    </row>
    <row r="368" spans="2:14" ht="15.75" thickBot="1" x14ac:dyDescent="0.3">
      <c r="B368" s="148"/>
      <c r="C368" s="149">
        <v>20116003</v>
      </c>
      <c r="D368" s="149" t="s">
        <v>27</v>
      </c>
      <c r="E368" s="160">
        <v>1557474</v>
      </c>
      <c r="F368" s="160">
        <v>1557474</v>
      </c>
      <c r="G368" s="160">
        <v>1557474</v>
      </c>
      <c r="H368" s="160">
        <v>0</v>
      </c>
      <c r="I368" s="157"/>
      <c r="J368" s="149">
        <v>1557474</v>
      </c>
      <c r="K368" s="149">
        <v>1652264</v>
      </c>
      <c r="L368" s="149">
        <v>1652264</v>
      </c>
      <c r="M368" s="149" t="s">
        <v>586</v>
      </c>
      <c r="N368" s="162"/>
    </row>
    <row r="369" spans="2:14" ht="15.75" thickBot="1" x14ac:dyDescent="0.3">
      <c r="B369" s="148"/>
      <c r="C369" s="149">
        <v>20116005</v>
      </c>
      <c r="D369" s="149" t="s">
        <v>28</v>
      </c>
      <c r="E369" s="160">
        <v>135358</v>
      </c>
      <c r="F369" s="160">
        <v>135358</v>
      </c>
      <c r="G369" s="160">
        <v>135358</v>
      </c>
      <c r="H369" s="160">
        <v>0</v>
      </c>
      <c r="I369" s="157"/>
      <c r="J369" s="149">
        <v>135358</v>
      </c>
      <c r="K369" s="149">
        <v>141158</v>
      </c>
      <c r="L369" s="149">
        <v>141158</v>
      </c>
      <c r="M369" s="149" t="s">
        <v>586</v>
      </c>
      <c r="N369" s="162"/>
    </row>
    <row r="370" spans="2:14" ht="15.75" thickBot="1" x14ac:dyDescent="0.3">
      <c r="B370" s="148"/>
      <c r="C370" s="149">
        <v>20116006</v>
      </c>
      <c r="D370" s="149" t="s">
        <v>29</v>
      </c>
      <c r="E370" s="160">
        <v>27072</v>
      </c>
      <c r="F370" s="160">
        <v>27072</v>
      </c>
      <c r="G370" s="160">
        <v>27072</v>
      </c>
      <c r="H370" s="160">
        <v>0</v>
      </c>
      <c r="I370" s="157"/>
      <c r="J370" s="149">
        <v>27072</v>
      </c>
      <c r="K370" s="149">
        <v>28232</v>
      </c>
      <c r="L370" s="149">
        <v>28232</v>
      </c>
      <c r="M370" s="149" t="s">
        <v>586</v>
      </c>
      <c r="N370" s="162"/>
    </row>
    <row r="371" spans="2:14" ht="15" thickBot="1" x14ac:dyDescent="0.25">
      <c r="B371" s="152"/>
      <c r="C371" s="37"/>
      <c r="D371" s="37"/>
      <c r="E371" s="159"/>
      <c r="F371" s="159"/>
      <c r="G371" s="159"/>
      <c r="H371" s="159"/>
      <c r="J371" s="37"/>
      <c r="K371" s="37"/>
      <c r="L371" s="37"/>
      <c r="M371" s="37"/>
      <c r="N371" s="163"/>
    </row>
    <row r="372" spans="2:14" ht="15.75" thickBot="1" x14ac:dyDescent="0.3">
      <c r="B372" s="148" t="s">
        <v>383</v>
      </c>
      <c r="C372" s="149">
        <v>21101001</v>
      </c>
      <c r="D372" s="149" t="s">
        <v>33</v>
      </c>
      <c r="E372" s="160">
        <v>320000</v>
      </c>
      <c r="F372" s="160">
        <v>355000</v>
      </c>
      <c r="G372" s="160">
        <v>354687.69799999997</v>
      </c>
      <c r="H372" s="160">
        <v>0</v>
      </c>
      <c r="I372" s="157"/>
      <c r="J372" s="149">
        <v>354687.7</v>
      </c>
      <c r="K372" s="149">
        <v>325000</v>
      </c>
      <c r="L372" s="149">
        <v>370000</v>
      </c>
      <c r="M372" s="149" t="s">
        <v>586</v>
      </c>
      <c r="N372" s="162"/>
    </row>
    <row r="373" spans="2:14" ht="15.75" thickBot="1" x14ac:dyDescent="0.3">
      <c r="B373" s="148"/>
      <c r="C373" s="149">
        <v>21102001</v>
      </c>
      <c r="D373" s="149" t="s">
        <v>34</v>
      </c>
      <c r="E373" s="160">
        <v>1900000</v>
      </c>
      <c r="F373" s="160">
        <v>1900000</v>
      </c>
      <c r="G373" s="160">
        <v>1875770.15</v>
      </c>
      <c r="H373" s="160">
        <v>0</v>
      </c>
      <c r="I373" s="157"/>
      <c r="J373" s="149">
        <v>1875770.1</v>
      </c>
      <c r="K373" s="149">
        <v>1900000</v>
      </c>
      <c r="L373" s="149">
        <v>1900000</v>
      </c>
      <c r="M373" s="149" t="s">
        <v>586</v>
      </c>
      <c r="N373" s="162"/>
    </row>
    <row r="374" spans="2:14" ht="15.75" thickBot="1" x14ac:dyDescent="0.3">
      <c r="B374" s="148"/>
      <c r="C374" s="149">
        <v>21103001</v>
      </c>
      <c r="D374" s="149" t="s">
        <v>35</v>
      </c>
      <c r="E374" s="160">
        <v>1200000</v>
      </c>
      <c r="F374" s="160">
        <v>1200000</v>
      </c>
      <c r="G374" s="160">
        <v>862388.85900000005</v>
      </c>
      <c r="H374" s="160">
        <v>0</v>
      </c>
      <c r="I374" s="157"/>
      <c r="J374" s="149">
        <v>862388.8</v>
      </c>
      <c r="K374" s="149">
        <v>1200000</v>
      </c>
      <c r="L374" s="149">
        <v>1200000</v>
      </c>
      <c r="M374" s="149" t="s">
        <v>586</v>
      </c>
      <c r="N374" s="162"/>
    </row>
    <row r="375" spans="2:14" ht="15.75" thickBot="1" x14ac:dyDescent="0.3">
      <c r="B375" s="148"/>
      <c r="C375" s="149">
        <v>21104001</v>
      </c>
      <c r="D375" s="149" t="s">
        <v>36</v>
      </c>
      <c r="E375" s="160">
        <v>30000</v>
      </c>
      <c r="F375" s="160">
        <v>30000</v>
      </c>
      <c r="G375" s="160">
        <v>0</v>
      </c>
      <c r="H375" s="160">
        <v>0</v>
      </c>
      <c r="I375" s="157"/>
      <c r="J375" s="149">
        <v>0</v>
      </c>
      <c r="K375" s="149">
        <v>30000</v>
      </c>
      <c r="L375" s="149">
        <v>30000</v>
      </c>
      <c r="M375" s="149" t="s">
        <v>586</v>
      </c>
      <c r="N375" s="162"/>
    </row>
    <row r="376" spans="2:14" ht="15.75" thickBot="1" x14ac:dyDescent="0.3">
      <c r="B376" s="148"/>
      <c r="C376" s="149">
        <v>21105001</v>
      </c>
      <c r="D376" s="149" t="s">
        <v>37</v>
      </c>
      <c r="E376" s="160">
        <v>1000000</v>
      </c>
      <c r="F376" s="160">
        <v>965000</v>
      </c>
      <c r="G376" s="160">
        <v>852095.99</v>
      </c>
      <c r="H376" s="160">
        <v>0</v>
      </c>
      <c r="I376" s="157"/>
      <c r="J376" s="149">
        <v>852096</v>
      </c>
      <c r="K376" s="149">
        <v>2000000</v>
      </c>
      <c r="L376" s="149">
        <v>2000000</v>
      </c>
      <c r="M376" s="149" t="s">
        <v>586</v>
      </c>
      <c r="N376" s="162"/>
    </row>
    <row r="377" spans="2:14" ht="15" thickBot="1" x14ac:dyDescent="0.25">
      <c r="B377" s="152"/>
      <c r="C377" s="37"/>
      <c r="D377" s="37"/>
      <c r="E377" s="159"/>
      <c r="F377" s="159"/>
      <c r="G377" s="159"/>
      <c r="H377" s="159"/>
      <c r="J377" s="37"/>
      <c r="K377" s="37"/>
      <c r="L377" s="37"/>
      <c r="M377" s="37"/>
      <c r="N377" s="163"/>
    </row>
    <row r="378" spans="2:14" ht="15.75" thickBot="1" x14ac:dyDescent="0.3">
      <c r="B378" s="148" t="s">
        <v>386</v>
      </c>
      <c r="C378" s="149">
        <v>23601001</v>
      </c>
      <c r="D378" s="149" t="s">
        <v>52</v>
      </c>
      <c r="E378" s="160">
        <v>200000</v>
      </c>
      <c r="F378" s="160">
        <v>200000</v>
      </c>
      <c r="G378" s="160">
        <v>91329.254000000001</v>
      </c>
      <c r="H378" s="160">
        <v>0</v>
      </c>
      <c r="I378" s="157"/>
      <c r="J378" s="149">
        <v>91329.26</v>
      </c>
      <c r="K378" s="149">
        <v>200000</v>
      </c>
      <c r="L378" s="149">
        <v>200000</v>
      </c>
      <c r="M378" s="149" t="s">
        <v>586</v>
      </c>
      <c r="N378" s="162"/>
    </row>
    <row r="379" spans="2:14" ht="15.75" thickBot="1" x14ac:dyDescent="0.3">
      <c r="B379" s="148"/>
      <c r="C379" s="149">
        <v>23601002</v>
      </c>
      <c r="D379" s="149" t="s">
        <v>53</v>
      </c>
      <c r="E379" s="160">
        <v>150000</v>
      </c>
      <c r="F379" s="160">
        <v>340000</v>
      </c>
      <c r="G379" s="160">
        <v>194327.427</v>
      </c>
      <c r="H379" s="160">
        <v>0</v>
      </c>
      <c r="I379" s="157"/>
      <c r="J379" s="149">
        <v>194327.42</v>
      </c>
      <c r="K379" s="149">
        <v>150000</v>
      </c>
      <c r="L379" s="149">
        <v>350000</v>
      </c>
      <c r="M379" s="149" t="s">
        <v>586</v>
      </c>
      <c r="N379" s="162"/>
    </row>
    <row r="380" spans="2:14" ht="15.75" thickBot="1" x14ac:dyDescent="0.3">
      <c r="B380" s="148"/>
      <c r="C380" s="149">
        <v>23601003</v>
      </c>
      <c r="D380" s="149" t="s">
        <v>54</v>
      </c>
      <c r="E380" s="160">
        <v>500000</v>
      </c>
      <c r="F380" s="160">
        <v>500000</v>
      </c>
      <c r="G380" s="160">
        <v>0</v>
      </c>
      <c r="H380" s="160">
        <v>499999.62</v>
      </c>
      <c r="I380" s="157"/>
      <c r="J380" s="149">
        <v>0</v>
      </c>
      <c r="K380" s="149">
        <v>500000</v>
      </c>
      <c r="L380" s="149">
        <v>500000</v>
      </c>
      <c r="M380" s="149" t="s">
        <v>586</v>
      </c>
      <c r="N380" s="162"/>
    </row>
    <row r="381" spans="2:14" ht="15.75" thickBot="1" x14ac:dyDescent="0.3">
      <c r="B381" s="148"/>
      <c r="C381" s="149">
        <v>23601004</v>
      </c>
      <c r="D381" s="149" t="s">
        <v>55</v>
      </c>
      <c r="E381" s="160">
        <v>15000</v>
      </c>
      <c r="F381" s="160">
        <v>15000</v>
      </c>
      <c r="G381" s="160">
        <v>146.56</v>
      </c>
      <c r="H381" s="160">
        <v>7000</v>
      </c>
      <c r="I381" s="157"/>
      <c r="J381" s="149">
        <v>146.56</v>
      </c>
      <c r="K381" s="149">
        <v>15000</v>
      </c>
      <c r="L381" s="149">
        <v>15000</v>
      </c>
      <c r="M381" s="149" t="s">
        <v>586</v>
      </c>
      <c r="N381" s="162"/>
    </row>
    <row r="382" spans="2:14" ht="15.75" thickBot="1" x14ac:dyDescent="0.3">
      <c r="B382" s="148"/>
      <c r="C382" s="149">
        <v>23601005</v>
      </c>
      <c r="D382" s="149" t="s">
        <v>56</v>
      </c>
      <c r="E382" s="160">
        <v>5000</v>
      </c>
      <c r="F382" s="160">
        <v>5000</v>
      </c>
      <c r="G382" s="160">
        <v>0</v>
      </c>
      <c r="H382" s="160">
        <v>0</v>
      </c>
      <c r="I382" s="157"/>
      <c r="J382" s="149">
        <v>0</v>
      </c>
      <c r="K382" s="149">
        <v>5000</v>
      </c>
      <c r="L382" s="149">
        <v>5000</v>
      </c>
      <c r="M382" s="149" t="s">
        <v>586</v>
      </c>
      <c r="N382" s="162"/>
    </row>
    <row r="383" spans="2:14" ht="15.75" thickBot="1" x14ac:dyDescent="0.3">
      <c r="B383" s="148"/>
      <c r="C383" s="149">
        <v>23601006</v>
      </c>
      <c r="D383" s="149" t="s">
        <v>57</v>
      </c>
      <c r="E383" s="160">
        <v>10000</v>
      </c>
      <c r="F383" s="160">
        <v>10000</v>
      </c>
      <c r="G383" s="160">
        <v>781.3</v>
      </c>
      <c r="H383" s="160">
        <v>0</v>
      </c>
      <c r="I383" s="157"/>
      <c r="J383" s="149">
        <v>781.3</v>
      </c>
      <c r="K383" s="149">
        <v>10000</v>
      </c>
      <c r="L383" s="149">
        <v>10000</v>
      </c>
      <c r="M383" s="149" t="s">
        <v>586</v>
      </c>
      <c r="N383" s="162"/>
    </row>
    <row r="384" spans="2:14" ht="15.75" thickBot="1" x14ac:dyDescent="0.3">
      <c r="B384" s="148"/>
      <c r="C384" s="149">
        <v>23601007</v>
      </c>
      <c r="D384" s="149" t="s">
        <v>58</v>
      </c>
      <c r="E384" s="160">
        <v>20000</v>
      </c>
      <c r="F384" s="160">
        <v>20000</v>
      </c>
      <c r="G384" s="160">
        <v>16994.312000000002</v>
      </c>
      <c r="H384" s="160">
        <v>0</v>
      </c>
      <c r="I384" s="157"/>
      <c r="J384" s="149">
        <v>16994.312000000002</v>
      </c>
      <c r="K384" s="149">
        <v>20000</v>
      </c>
      <c r="L384" s="149">
        <v>20000</v>
      </c>
      <c r="M384" s="149" t="s">
        <v>586</v>
      </c>
      <c r="N384" s="162"/>
    </row>
    <row r="385" spans="2:14" ht="15.75" thickBot="1" x14ac:dyDescent="0.3">
      <c r="B385" s="148"/>
      <c r="C385" s="149">
        <v>23602001</v>
      </c>
      <c r="D385" s="149" t="s">
        <v>59</v>
      </c>
      <c r="E385" s="160">
        <v>50000</v>
      </c>
      <c r="F385" s="160">
        <v>10000</v>
      </c>
      <c r="G385" s="160">
        <v>0</v>
      </c>
      <c r="H385" s="160">
        <v>0</v>
      </c>
      <c r="I385" s="157"/>
      <c r="J385" s="149">
        <v>0</v>
      </c>
      <c r="K385" s="149">
        <v>50000</v>
      </c>
      <c r="L385" s="149">
        <v>50000</v>
      </c>
      <c r="M385" s="149" t="s">
        <v>586</v>
      </c>
      <c r="N385" s="162"/>
    </row>
    <row r="386" spans="2:14" ht="15.75" thickBot="1" x14ac:dyDescent="0.3">
      <c r="B386" s="148"/>
      <c r="C386" s="149">
        <v>23602002</v>
      </c>
      <c r="D386" s="149" t="s">
        <v>60</v>
      </c>
      <c r="E386" s="160">
        <v>1000</v>
      </c>
      <c r="F386" s="160">
        <v>1000</v>
      </c>
      <c r="G386" s="160">
        <v>0</v>
      </c>
      <c r="H386" s="160">
        <v>0</v>
      </c>
      <c r="I386" s="157"/>
      <c r="J386" s="149">
        <v>0</v>
      </c>
      <c r="K386" s="149">
        <v>1000</v>
      </c>
      <c r="L386" s="149">
        <v>1000</v>
      </c>
      <c r="M386" s="149" t="s">
        <v>586</v>
      </c>
      <c r="N386" s="162"/>
    </row>
    <row r="387" spans="2:14" ht="15.75" thickBot="1" x14ac:dyDescent="0.3">
      <c r="B387" s="148"/>
      <c r="C387" s="149">
        <v>23602003</v>
      </c>
      <c r="D387" s="149" t="s">
        <v>61</v>
      </c>
      <c r="E387" s="160">
        <v>5000</v>
      </c>
      <c r="F387" s="160">
        <v>5000</v>
      </c>
      <c r="G387" s="160">
        <v>578</v>
      </c>
      <c r="H387" s="160">
        <v>0</v>
      </c>
      <c r="I387" s="157"/>
      <c r="J387" s="149">
        <v>578</v>
      </c>
      <c r="K387" s="149">
        <v>5000</v>
      </c>
      <c r="L387" s="149">
        <v>5000</v>
      </c>
      <c r="M387" s="149" t="s">
        <v>586</v>
      </c>
      <c r="N387" s="162"/>
    </row>
    <row r="388" spans="2:14" ht="15.75" thickBot="1" x14ac:dyDescent="0.3">
      <c r="B388" s="148"/>
      <c r="C388" s="149">
        <v>23606006</v>
      </c>
      <c r="D388" s="149" t="s">
        <v>67</v>
      </c>
      <c r="E388" s="160">
        <v>3000</v>
      </c>
      <c r="F388" s="160">
        <v>3000</v>
      </c>
      <c r="G388" s="160">
        <v>39.44</v>
      </c>
      <c r="H388" s="160">
        <v>0</v>
      </c>
      <c r="I388" s="157"/>
      <c r="J388" s="149">
        <v>39.44</v>
      </c>
      <c r="K388" s="149">
        <v>3000</v>
      </c>
      <c r="L388" s="149">
        <v>3000</v>
      </c>
      <c r="M388" s="149" t="s">
        <v>586</v>
      </c>
      <c r="N388" s="162"/>
    </row>
    <row r="389" spans="2:14" ht="15.75" thickBot="1" x14ac:dyDescent="0.3">
      <c r="B389" s="148"/>
      <c r="C389" s="149">
        <v>23615001</v>
      </c>
      <c r="D389" s="149" t="s">
        <v>69</v>
      </c>
      <c r="E389" s="160">
        <v>50000</v>
      </c>
      <c r="F389" s="160">
        <v>50000</v>
      </c>
      <c r="G389" s="160">
        <v>22373.050999999999</v>
      </c>
      <c r="H389" s="160">
        <v>7425</v>
      </c>
      <c r="I389" s="157"/>
      <c r="J389" s="149">
        <v>22373.05</v>
      </c>
      <c r="K389" s="149">
        <v>50000</v>
      </c>
      <c r="L389" s="149">
        <v>50000</v>
      </c>
      <c r="M389" s="149" t="s">
        <v>586</v>
      </c>
      <c r="N389" s="162"/>
    </row>
    <row r="390" spans="2:14" ht="15.75" thickBot="1" x14ac:dyDescent="0.3">
      <c r="B390" s="148"/>
      <c r="C390" s="149">
        <v>23615003</v>
      </c>
      <c r="D390" s="149" t="s">
        <v>475</v>
      </c>
      <c r="E390" s="160">
        <v>75000</v>
      </c>
      <c r="F390" s="160">
        <v>15000</v>
      </c>
      <c r="G390" s="160">
        <v>795.79899999999998</v>
      </c>
      <c r="H390" s="160">
        <v>0</v>
      </c>
      <c r="I390" s="157"/>
      <c r="J390" s="149">
        <v>795.80079999999998</v>
      </c>
      <c r="K390" s="149">
        <v>75000</v>
      </c>
      <c r="L390" s="149">
        <v>75000</v>
      </c>
      <c r="M390" s="149" t="s">
        <v>586</v>
      </c>
      <c r="N390" s="162"/>
    </row>
    <row r="391" spans="2:14" ht="15.75" thickBot="1" x14ac:dyDescent="0.3">
      <c r="B391" s="148"/>
      <c r="C391" s="149">
        <v>24903001</v>
      </c>
      <c r="D391" s="149" t="s">
        <v>725</v>
      </c>
      <c r="E391" s="160">
        <v>800000</v>
      </c>
      <c r="F391" s="160">
        <v>800000</v>
      </c>
      <c r="G391" s="160">
        <v>569621.19700000004</v>
      </c>
      <c r="H391" s="160">
        <v>0</v>
      </c>
      <c r="I391" s="157"/>
      <c r="J391" s="149">
        <v>569621.19999999995</v>
      </c>
      <c r="K391" s="149">
        <v>800000</v>
      </c>
      <c r="L391" s="149">
        <v>800000</v>
      </c>
      <c r="M391" s="149" t="s">
        <v>586</v>
      </c>
      <c r="N391" s="162"/>
    </row>
    <row r="392" spans="2:14" ht="15.75" thickBot="1" x14ac:dyDescent="0.3">
      <c r="B392" s="148"/>
      <c r="C392" s="149">
        <v>25002002</v>
      </c>
      <c r="D392" s="149" t="s">
        <v>133</v>
      </c>
      <c r="E392" s="160">
        <v>100000</v>
      </c>
      <c r="F392" s="160">
        <v>100000</v>
      </c>
      <c r="G392" s="160">
        <v>0</v>
      </c>
      <c r="H392" s="160">
        <v>0</v>
      </c>
      <c r="I392" s="157"/>
      <c r="J392" s="149">
        <v>0</v>
      </c>
      <c r="K392" s="149">
        <v>100000</v>
      </c>
      <c r="L392" s="149">
        <v>100000</v>
      </c>
      <c r="M392" s="149" t="s">
        <v>586</v>
      </c>
      <c r="N392" s="162"/>
    </row>
    <row r="393" spans="2:14" ht="15" thickBot="1" x14ac:dyDescent="0.25">
      <c r="B393" s="152"/>
      <c r="C393" s="37"/>
      <c r="D393" s="37"/>
      <c r="E393" s="159"/>
      <c r="F393" s="159"/>
      <c r="G393" s="159"/>
      <c r="H393" s="159"/>
      <c r="J393" s="37"/>
      <c r="K393" s="37"/>
      <c r="L393" s="37"/>
      <c r="M393" s="37"/>
      <c r="N393" s="163"/>
    </row>
    <row r="394" spans="2:14" ht="30.75" thickBot="1" x14ac:dyDescent="0.3">
      <c r="B394" s="148" t="s">
        <v>388</v>
      </c>
      <c r="C394" s="149">
        <v>24601001</v>
      </c>
      <c r="D394" s="149" t="s">
        <v>70</v>
      </c>
      <c r="E394" s="160">
        <v>3550</v>
      </c>
      <c r="F394" s="160">
        <v>3550</v>
      </c>
      <c r="G394" s="160">
        <v>3540</v>
      </c>
      <c r="H394" s="160">
        <v>0</v>
      </c>
      <c r="I394" s="157"/>
      <c r="J394" s="149">
        <v>3540</v>
      </c>
      <c r="K394" s="149">
        <v>3550</v>
      </c>
      <c r="L394" s="149">
        <v>3550</v>
      </c>
      <c r="M394" s="149" t="s">
        <v>586</v>
      </c>
      <c r="N394" s="162"/>
    </row>
    <row r="395" spans="2:14" ht="15.75" thickBot="1" x14ac:dyDescent="0.3">
      <c r="B395" s="148"/>
      <c r="C395" s="149">
        <v>24601002</v>
      </c>
      <c r="D395" s="149" t="s">
        <v>71</v>
      </c>
      <c r="E395" s="160">
        <v>2150</v>
      </c>
      <c r="F395" s="160">
        <v>2150</v>
      </c>
      <c r="G395" s="160">
        <v>0</v>
      </c>
      <c r="H395" s="160">
        <v>0</v>
      </c>
      <c r="I395" s="157"/>
      <c r="J395" s="149">
        <v>0</v>
      </c>
      <c r="K395" s="149">
        <v>2150</v>
      </c>
      <c r="L395" s="149">
        <v>2150</v>
      </c>
      <c r="M395" s="149" t="s">
        <v>586</v>
      </c>
      <c r="N395" s="162"/>
    </row>
    <row r="396" spans="2:14" ht="15.75" thickBot="1" x14ac:dyDescent="0.3">
      <c r="B396" s="148"/>
      <c r="C396" s="149">
        <v>24601004</v>
      </c>
      <c r="D396" s="149" t="s">
        <v>123</v>
      </c>
      <c r="E396" s="160">
        <v>400</v>
      </c>
      <c r="F396" s="160">
        <v>400</v>
      </c>
      <c r="G396" s="160">
        <v>350</v>
      </c>
      <c r="H396" s="160">
        <v>0</v>
      </c>
      <c r="I396" s="157"/>
      <c r="J396" s="149">
        <v>350</v>
      </c>
      <c r="K396" s="149">
        <v>400</v>
      </c>
      <c r="L396" s="149">
        <v>400</v>
      </c>
      <c r="M396" s="149" t="s">
        <v>586</v>
      </c>
      <c r="N396" s="162"/>
    </row>
    <row r="397" spans="2:14" ht="15.75" thickBot="1" x14ac:dyDescent="0.3">
      <c r="B397" s="148"/>
      <c r="C397" s="149">
        <v>24601006</v>
      </c>
      <c r="D397" s="149" t="s">
        <v>72</v>
      </c>
      <c r="E397" s="160">
        <v>7000</v>
      </c>
      <c r="F397" s="160">
        <v>7000</v>
      </c>
      <c r="G397" s="160">
        <v>7000</v>
      </c>
      <c r="H397" s="160">
        <v>0</v>
      </c>
      <c r="I397" s="157"/>
      <c r="J397" s="149">
        <v>7000</v>
      </c>
      <c r="K397" s="149">
        <v>7000</v>
      </c>
      <c r="L397" s="149">
        <v>7000</v>
      </c>
      <c r="M397" s="149" t="s">
        <v>586</v>
      </c>
      <c r="N397" s="162"/>
    </row>
    <row r="398" spans="2:14" ht="15.75" thickBot="1" x14ac:dyDescent="0.3">
      <c r="B398" s="148"/>
      <c r="C398" s="149">
        <v>24601007</v>
      </c>
      <c r="D398" s="149" t="s">
        <v>726</v>
      </c>
      <c r="E398" s="160">
        <v>10000</v>
      </c>
      <c r="F398" s="160">
        <v>10000</v>
      </c>
      <c r="G398" s="160">
        <v>0</v>
      </c>
      <c r="H398" s="160">
        <v>0</v>
      </c>
      <c r="I398" s="157"/>
      <c r="J398" s="149">
        <v>0</v>
      </c>
      <c r="K398" s="149">
        <v>10000</v>
      </c>
      <c r="L398" s="149">
        <v>10000</v>
      </c>
      <c r="M398" s="149" t="s">
        <v>586</v>
      </c>
      <c r="N398" s="162"/>
    </row>
    <row r="399" spans="2:14" ht="15.75" thickBot="1" x14ac:dyDescent="0.3">
      <c r="B399" s="148"/>
      <c r="C399" s="149">
        <v>24601009</v>
      </c>
      <c r="D399" s="149" t="s">
        <v>727</v>
      </c>
      <c r="E399" s="160">
        <v>400</v>
      </c>
      <c r="F399" s="160">
        <v>400</v>
      </c>
      <c r="G399" s="160">
        <v>0</v>
      </c>
      <c r="H399" s="160">
        <v>0</v>
      </c>
      <c r="I399" s="157"/>
      <c r="J399" s="149">
        <v>0</v>
      </c>
      <c r="K399" s="149">
        <v>400</v>
      </c>
      <c r="L399" s="149">
        <v>400</v>
      </c>
      <c r="M399" s="149" t="s">
        <v>586</v>
      </c>
      <c r="N399" s="162"/>
    </row>
    <row r="400" spans="2:14" ht="15.75" thickBot="1" x14ac:dyDescent="0.3">
      <c r="B400" s="148"/>
      <c r="C400" s="149">
        <v>24601010</v>
      </c>
      <c r="D400" s="149" t="s">
        <v>478</v>
      </c>
      <c r="E400" s="160">
        <v>400</v>
      </c>
      <c r="F400" s="160">
        <v>400</v>
      </c>
      <c r="G400" s="160">
        <v>394.52300000000002</v>
      </c>
      <c r="H400" s="160">
        <v>0</v>
      </c>
      <c r="I400" s="157"/>
      <c r="J400" s="149">
        <v>394.52300000000002</v>
      </c>
      <c r="K400" s="149">
        <v>400</v>
      </c>
      <c r="L400" s="149">
        <v>400</v>
      </c>
      <c r="M400" s="149" t="s">
        <v>586</v>
      </c>
      <c r="N400" s="162"/>
    </row>
    <row r="401" spans="2:14" ht="15.75" thickBot="1" x14ac:dyDescent="0.3">
      <c r="B401" s="148"/>
      <c r="C401" s="149">
        <v>24602001</v>
      </c>
      <c r="D401" s="149" t="s">
        <v>728</v>
      </c>
      <c r="E401" s="160">
        <v>3600</v>
      </c>
      <c r="F401" s="160">
        <v>3600</v>
      </c>
      <c r="G401" s="160">
        <v>0</v>
      </c>
      <c r="H401" s="160">
        <v>0</v>
      </c>
      <c r="I401" s="157"/>
      <c r="J401" s="149">
        <v>0</v>
      </c>
      <c r="K401" s="149">
        <v>3600</v>
      </c>
      <c r="L401" s="149">
        <v>3600</v>
      </c>
      <c r="M401" s="149" t="s">
        <v>586</v>
      </c>
      <c r="N401" s="162"/>
    </row>
    <row r="402" spans="2:14" ht="15.75" thickBot="1" x14ac:dyDescent="0.3">
      <c r="B402" s="148"/>
      <c r="C402" s="149">
        <v>24602002</v>
      </c>
      <c r="D402" s="149" t="s">
        <v>124</v>
      </c>
      <c r="E402" s="160">
        <v>2000</v>
      </c>
      <c r="F402" s="160">
        <v>2000</v>
      </c>
      <c r="G402" s="160">
        <v>0</v>
      </c>
      <c r="H402" s="160">
        <v>0</v>
      </c>
      <c r="I402" s="157"/>
      <c r="J402" s="149">
        <v>0</v>
      </c>
      <c r="K402" s="149">
        <v>2000</v>
      </c>
      <c r="L402" s="149">
        <v>2000</v>
      </c>
      <c r="M402" s="149" t="s">
        <v>586</v>
      </c>
      <c r="N402" s="162"/>
    </row>
    <row r="403" spans="2:14" ht="15.75" thickBot="1" x14ac:dyDescent="0.3">
      <c r="B403" s="148"/>
      <c r="C403" s="149">
        <v>24602004</v>
      </c>
      <c r="D403" s="149" t="s">
        <v>125</v>
      </c>
      <c r="E403" s="160">
        <v>15000</v>
      </c>
      <c r="F403" s="160">
        <v>15000</v>
      </c>
      <c r="G403" s="160">
        <v>15000</v>
      </c>
      <c r="H403" s="160">
        <v>0</v>
      </c>
      <c r="I403" s="157"/>
      <c r="J403" s="149">
        <v>15000</v>
      </c>
      <c r="K403" s="149">
        <v>15000</v>
      </c>
      <c r="L403" s="149">
        <v>15000</v>
      </c>
      <c r="M403" s="149" t="s">
        <v>586</v>
      </c>
      <c r="N403" s="162"/>
    </row>
    <row r="404" spans="2:14" ht="15.75" thickBot="1" x14ac:dyDescent="0.3">
      <c r="B404" s="148"/>
      <c r="C404" s="149">
        <v>24602007</v>
      </c>
      <c r="D404" s="149" t="s">
        <v>75</v>
      </c>
      <c r="E404" s="160">
        <v>500</v>
      </c>
      <c r="F404" s="160">
        <v>500</v>
      </c>
      <c r="G404" s="160">
        <v>0</v>
      </c>
      <c r="H404" s="160">
        <v>0</v>
      </c>
      <c r="I404" s="157"/>
      <c r="J404" s="149">
        <v>0</v>
      </c>
      <c r="K404" s="149">
        <v>500</v>
      </c>
      <c r="L404" s="149">
        <v>500</v>
      </c>
      <c r="M404" s="149" t="s">
        <v>586</v>
      </c>
      <c r="N404" s="162"/>
    </row>
    <row r="405" spans="2:14" ht="15.75" thickBot="1" x14ac:dyDescent="0.3">
      <c r="B405" s="148"/>
      <c r="C405" s="149">
        <v>24605003</v>
      </c>
      <c r="D405" s="149" t="s">
        <v>76</v>
      </c>
      <c r="E405" s="160">
        <v>5000</v>
      </c>
      <c r="F405" s="160">
        <v>5000</v>
      </c>
      <c r="G405" s="160">
        <v>0</v>
      </c>
      <c r="H405" s="160">
        <v>0</v>
      </c>
      <c r="I405" s="157"/>
      <c r="J405" s="149">
        <v>0</v>
      </c>
      <c r="K405" s="149">
        <v>5000</v>
      </c>
      <c r="L405" s="149">
        <v>5000</v>
      </c>
      <c r="M405" s="149" t="s">
        <v>586</v>
      </c>
      <c r="N405" s="162"/>
    </row>
    <row r="406" spans="2:14" ht="15.75" thickBot="1" x14ac:dyDescent="0.3">
      <c r="B406" s="148"/>
      <c r="C406" s="149">
        <v>24605007</v>
      </c>
      <c r="D406" s="149" t="s">
        <v>77</v>
      </c>
      <c r="E406" s="160">
        <v>10000</v>
      </c>
      <c r="F406" s="160">
        <v>10000</v>
      </c>
      <c r="G406" s="160">
        <v>10000</v>
      </c>
      <c r="H406" s="160">
        <v>0</v>
      </c>
      <c r="I406" s="157"/>
      <c r="J406" s="149">
        <v>10000</v>
      </c>
      <c r="K406" s="149">
        <v>10000</v>
      </c>
      <c r="L406" s="149">
        <v>10000</v>
      </c>
      <c r="M406" s="149" t="s">
        <v>586</v>
      </c>
      <c r="N406" s="162"/>
    </row>
    <row r="407" spans="2:14" ht="15.75" thickBot="1" x14ac:dyDescent="0.3">
      <c r="B407" s="148"/>
      <c r="C407" s="149">
        <v>24605009</v>
      </c>
      <c r="D407" s="149" t="s">
        <v>126</v>
      </c>
      <c r="E407" s="160">
        <v>25000</v>
      </c>
      <c r="F407" s="160">
        <v>25000</v>
      </c>
      <c r="G407" s="160">
        <v>25000</v>
      </c>
      <c r="H407" s="160">
        <v>0</v>
      </c>
      <c r="I407" s="157"/>
      <c r="J407" s="149">
        <v>25000</v>
      </c>
      <c r="K407" s="149">
        <v>25000</v>
      </c>
      <c r="L407" s="149">
        <v>25000</v>
      </c>
      <c r="M407" s="149" t="s">
        <v>586</v>
      </c>
      <c r="N407" s="162"/>
    </row>
    <row r="408" spans="2:14" ht="15.75" thickBot="1" x14ac:dyDescent="0.3">
      <c r="B408" s="148"/>
      <c r="C408" s="149">
        <v>24605010</v>
      </c>
      <c r="D408" s="149" t="s">
        <v>78</v>
      </c>
      <c r="E408" s="160">
        <v>1500</v>
      </c>
      <c r="F408" s="160">
        <v>1500</v>
      </c>
      <c r="G408" s="160">
        <v>0</v>
      </c>
      <c r="H408" s="160">
        <v>0</v>
      </c>
      <c r="I408" s="157"/>
      <c r="J408" s="149">
        <v>0</v>
      </c>
      <c r="K408" s="149">
        <v>1500</v>
      </c>
      <c r="L408" s="149">
        <v>1500</v>
      </c>
      <c r="M408" s="149" t="s">
        <v>586</v>
      </c>
      <c r="N408" s="162"/>
    </row>
    <row r="409" spans="2:14" ht="15.75" thickBot="1" x14ac:dyDescent="0.3">
      <c r="B409" s="148"/>
      <c r="C409" s="149">
        <v>24605016</v>
      </c>
      <c r="D409" s="149" t="s">
        <v>79</v>
      </c>
      <c r="E409" s="160">
        <v>2000</v>
      </c>
      <c r="F409" s="160">
        <v>2000</v>
      </c>
      <c r="G409" s="160">
        <v>0</v>
      </c>
      <c r="H409" s="160">
        <v>0</v>
      </c>
      <c r="I409" s="157"/>
      <c r="J409" s="149">
        <v>0</v>
      </c>
      <c r="K409" s="149">
        <v>2000</v>
      </c>
      <c r="L409" s="149">
        <v>2000</v>
      </c>
      <c r="M409" s="149" t="s">
        <v>586</v>
      </c>
      <c r="N409" s="162"/>
    </row>
    <row r="410" spans="2:14" ht="15.75" thickBot="1" x14ac:dyDescent="0.3">
      <c r="B410" s="148"/>
      <c r="C410" s="149">
        <v>24605017</v>
      </c>
      <c r="D410" s="149" t="s">
        <v>80</v>
      </c>
      <c r="E410" s="160">
        <v>500</v>
      </c>
      <c r="F410" s="160">
        <v>500</v>
      </c>
      <c r="G410" s="160">
        <v>0</v>
      </c>
      <c r="H410" s="160">
        <v>0</v>
      </c>
      <c r="I410" s="157"/>
      <c r="J410" s="149">
        <v>0</v>
      </c>
      <c r="K410" s="149">
        <v>500</v>
      </c>
      <c r="L410" s="149">
        <v>500</v>
      </c>
      <c r="M410" s="149" t="s">
        <v>586</v>
      </c>
      <c r="N410" s="162"/>
    </row>
    <row r="411" spans="2:14" ht="15.75" thickBot="1" x14ac:dyDescent="0.3">
      <c r="B411" s="148"/>
      <c r="C411" s="149">
        <v>24605020</v>
      </c>
      <c r="D411" s="149" t="s">
        <v>81</v>
      </c>
      <c r="E411" s="160">
        <v>5000</v>
      </c>
      <c r="F411" s="160">
        <v>5000</v>
      </c>
      <c r="G411" s="160">
        <v>5000</v>
      </c>
      <c r="H411" s="160">
        <v>0</v>
      </c>
      <c r="I411" s="157"/>
      <c r="J411" s="149">
        <v>5000</v>
      </c>
      <c r="K411" s="149">
        <v>5000</v>
      </c>
      <c r="L411" s="149">
        <v>5000</v>
      </c>
      <c r="M411" s="149" t="s">
        <v>586</v>
      </c>
      <c r="N411" s="162"/>
    </row>
    <row r="412" spans="2:14" ht="15.75" thickBot="1" x14ac:dyDescent="0.3">
      <c r="B412" s="148"/>
      <c r="C412" s="149">
        <v>24605021</v>
      </c>
      <c r="D412" s="149" t="s">
        <v>82</v>
      </c>
      <c r="E412" s="160">
        <v>250</v>
      </c>
      <c r="F412" s="160">
        <v>250</v>
      </c>
      <c r="G412" s="160">
        <v>0</v>
      </c>
      <c r="H412" s="160">
        <v>0</v>
      </c>
      <c r="I412" s="157"/>
      <c r="J412" s="149">
        <v>0</v>
      </c>
      <c r="K412" s="149">
        <v>250</v>
      </c>
      <c r="L412" s="149">
        <v>250</v>
      </c>
      <c r="M412" s="149" t="s">
        <v>586</v>
      </c>
      <c r="N412" s="162"/>
    </row>
    <row r="413" spans="2:14" ht="15.75" thickBot="1" x14ac:dyDescent="0.3">
      <c r="B413" s="148"/>
      <c r="C413" s="149">
        <v>24605022</v>
      </c>
      <c r="D413" s="149" t="s">
        <v>729</v>
      </c>
      <c r="E413" s="160">
        <v>250</v>
      </c>
      <c r="F413" s="160">
        <v>250</v>
      </c>
      <c r="G413" s="160">
        <v>250</v>
      </c>
      <c r="H413" s="160">
        <v>0</v>
      </c>
      <c r="I413" s="157"/>
      <c r="J413" s="149">
        <v>250</v>
      </c>
      <c r="K413" s="149">
        <v>250</v>
      </c>
      <c r="L413" s="149">
        <v>250</v>
      </c>
      <c r="M413" s="149" t="s">
        <v>586</v>
      </c>
      <c r="N413" s="162"/>
    </row>
    <row r="414" spans="2:14" ht="15" thickBot="1" x14ac:dyDescent="0.25">
      <c r="B414" s="152"/>
      <c r="C414" s="37"/>
      <c r="D414" s="37"/>
      <c r="E414" s="159"/>
      <c r="F414" s="159"/>
      <c r="G414" s="159"/>
      <c r="H414" s="159"/>
      <c r="J414" s="37"/>
      <c r="K414" s="37"/>
      <c r="L414" s="37"/>
      <c r="M414" s="37"/>
      <c r="N414" s="163"/>
    </row>
    <row r="415" spans="2:14" ht="15.75" thickBot="1" x14ac:dyDescent="0.3">
      <c r="B415" s="148" t="s">
        <v>730</v>
      </c>
      <c r="C415" s="149">
        <v>27201001</v>
      </c>
      <c r="D415" s="149" t="s">
        <v>731</v>
      </c>
      <c r="E415" s="160">
        <v>1900000</v>
      </c>
      <c r="F415" s="160">
        <v>1900000</v>
      </c>
      <c r="G415" s="160">
        <v>0</v>
      </c>
      <c r="H415" s="160">
        <v>0</v>
      </c>
      <c r="I415" s="157"/>
      <c r="J415" s="149">
        <v>0</v>
      </c>
      <c r="K415" s="149">
        <v>1900000</v>
      </c>
      <c r="L415" s="149">
        <v>1900000</v>
      </c>
      <c r="M415" s="149" t="s">
        <v>586</v>
      </c>
      <c r="N415" s="162"/>
    </row>
    <row r="416" spans="2:14" ht="15.75" thickBot="1" x14ac:dyDescent="0.3">
      <c r="B416" s="148"/>
      <c r="C416" s="149">
        <v>27201002</v>
      </c>
      <c r="D416" s="149" t="s">
        <v>569</v>
      </c>
      <c r="E416" s="160">
        <v>500000</v>
      </c>
      <c r="F416" s="160">
        <v>500000</v>
      </c>
      <c r="G416" s="160">
        <v>0</v>
      </c>
      <c r="H416" s="160">
        <v>0</v>
      </c>
      <c r="I416" s="157"/>
      <c r="J416" s="149">
        <v>0</v>
      </c>
      <c r="K416" s="149">
        <v>500000</v>
      </c>
      <c r="L416" s="149">
        <v>500000</v>
      </c>
      <c r="M416" s="149" t="s">
        <v>586</v>
      </c>
      <c r="N416" s="162"/>
    </row>
    <row r="417" spans="2:14" ht="15.75" thickBot="1" x14ac:dyDescent="0.3">
      <c r="B417" s="148"/>
      <c r="C417" s="149">
        <v>28001001</v>
      </c>
      <c r="D417" s="149" t="s">
        <v>732</v>
      </c>
      <c r="E417" s="160">
        <v>5314000</v>
      </c>
      <c r="F417" s="160">
        <v>5314000</v>
      </c>
      <c r="G417" s="160">
        <v>0</v>
      </c>
      <c r="H417" s="160">
        <v>0</v>
      </c>
      <c r="I417" s="157"/>
      <c r="J417" s="149">
        <v>0</v>
      </c>
      <c r="K417" s="149">
        <v>5314000</v>
      </c>
      <c r="L417" s="149">
        <v>5314000</v>
      </c>
      <c r="M417" s="149" t="s">
        <v>586</v>
      </c>
      <c r="N417" s="162"/>
    </row>
    <row r="418" spans="2:14" ht="15.75" thickBot="1" x14ac:dyDescent="0.3">
      <c r="B418" s="148"/>
      <c r="C418" s="149">
        <v>28101006</v>
      </c>
      <c r="D418" s="149" t="s">
        <v>565</v>
      </c>
      <c r="E418" s="160">
        <v>15376000</v>
      </c>
      <c r="F418" s="160">
        <v>15376000</v>
      </c>
      <c r="G418" s="160">
        <v>15375481.875</v>
      </c>
      <c r="H418" s="160">
        <v>0</v>
      </c>
      <c r="I418" s="157"/>
      <c r="J418" s="155">
        <v>15375482</v>
      </c>
      <c r="K418" s="149">
        <v>15376000</v>
      </c>
      <c r="L418" s="149">
        <v>15376000</v>
      </c>
      <c r="M418" s="149" t="s">
        <v>586</v>
      </c>
      <c r="N418" s="162"/>
    </row>
    <row r="419" spans="2:14" ht="15" thickBot="1" x14ac:dyDescent="0.25">
      <c r="B419" s="152"/>
      <c r="C419" s="37"/>
      <c r="D419" s="37"/>
      <c r="E419" s="159"/>
      <c r="F419" s="159"/>
      <c r="G419" s="159"/>
      <c r="H419" s="159"/>
      <c r="J419" s="37"/>
      <c r="K419" s="37"/>
      <c r="L419" s="37"/>
      <c r="M419" s="37"/>
      <c r="N419" s="163"/>
    </row>
    <row r="420" spans="2:14" ht="15.75" thickBot="1" x14ac:dyDescent="0.3">
      <c r="B420" s="148" t="s">
        <v>394</v>
      </c>
      <c r="C420" s="149">
        <v>29301002</v>
      </c>
      <c r="D420" s="149" t="s">
        <v>733</v>
      </c>
      <c r="E420" s="160">
        <v>500000</v>
      </c>
      <c r="F420" s="160">
        <v>500000</v>
      </c>
      <c r="G420" s="160">
        <v>0</v>
      </c>
      <c r="H420" s="160">
        <v>261649.818</v>
      </c>
      <c r="I420" s="157"/>
      <c r="J420" s="149">
        <v>0</v>
      </c>
      <c r="K420" s="149">
        <v>500000</v>
      </c>
      <c r="L420" s="149">
        <v>500000</v>
      </c>
      <c r="M420" s="149" t="s">
        <v>586</v>
      </c>
      <c r="N420" s="162"/>
    </row>
    <row r="421" spans="2:14" ht="15.75" thickBot="1" x14ac:dyDescent="0.3">
      <c r="B421" s="148"/>
      <c r="C421" s="149">
        <v>29301006</v>
      </c>
      <c r="D421" s="149" t="s">
        <v>734</v>
      </c>
      <c r="E421" s="160">
        <v>1500000</v>
      </c>
      <c r="F421" s="160">
        <v>1500000</v>
      </c>
      <c r="G421" s="160">
        <v>0</v>
      </c>
      <c r="H421" s="160">
        <v>0</v>
      </c>
      <c r="I421" s="157"/>
      <c r="J421" s="149">
        <v>0</v>
      </c>
      <c r="K421" s="149">
        <v>1500000</v>
      </c>
      <c r="L421" s="149">
        <v>1500000</v>
      </c>
      <c r="M421" s="149" t="s">
        <v>586</v>
      </c>
      <c r="N421" s="162"/>
    </row>
    <row r="422" spans="2:14" ht="15.75" thickBot="1" x14ac:dyDescent="0.3">
      <c r="B422" s="148"/>
      <c r="C422" s="149">
        <v>29301019</v>
      </c>
      <c r="D422" s="149" t="s">
        <v>735</v>
      </c>
      <c r="E422" s="160">
        <v>400000</v>
      </c>
      <c r="F422" s="160">
        <v>400000</v>
      </c>
      <c r="G422" s="160">
        <v>297425</v>
      </c>
      <c r="H422" s="160">
        <v>1558.116</v>
      </c>
      <c r="I422" s="157"/>
      <c r="J422" s="149">
        <v>297425</v>
      </c>
      <c r="K422" s="149">
        <v>400000</v>
      </c>
      <c r="L422" s="149">
        <v>400000</v>
      </c>
      <c r="M422" s="149" t="s">
        <v>586</v>
      </c>
      <c r="N422" s="162"/>
    </row>
    <row r="423" spans="2:14" ht="15.75" thickBot="1" x14ac:dyDescent="0.3">
      <c r="B423" s="148"/>
      <c r="C423" s="149">
        <v>29301021</v>
      </c>
      <c r="D423" s="149" t="s">
        <v>736</v>
      </c>
      <c r="E423" s="160">
        <v>1000000</v>
      </c>
      <c r="F423" s="160">
        <v>135000</v>
      </c>
      <c r="G423" s="160">
        <v>0</v>
      </c>
      <c r="H423" s="160">
        <v>0</v>
      </c>
      <c r="I423" s="157"/>
      <c r="J423" s="149">
        <v>0</v>
      </c>
      <c r="K423" s="149">
        <v>1000000</v>
      </c>
      <c r="L423" s="149">
        <v>1000000</v>
      </c>
      <c r="M423" s="149" t="s">
        <v>586</v>
      </c>
      <c r="N423" s="162"/>
    </row>
    <row r="424" spans="2:14" ht="15.75" thickBot="1" x14ac:dyDescent="0.3">
      <c r="B424" s="148"/>
      <c r="C424" s="149">
        <v>29301023</v>
      </c>
      <c r="D424" s="149" t="s">
        <v>737</v>
      </c>
      <c r="E424" s="160">
        <v>75000</v>
      </c>
      <c r="F424" s="160">
        <v>75000</v>
      </c>
      <c r="G424" s="160">
        <v>0</v>
      </c>
      <c r="H424" s="160">
        <v>0</v>
      </c>
      <c r="I424" s="157"/>
      <c r="J424" s="149">
        <v>0</v>
      </c>
      <c r="K424" s="149">
        <v>75000</v>
      </c>
      <c r="L424" s="149">
        <v>75000</v>
      </c>
      <c r="M424" s="149" t="s">
        <v>586</v>
      </c>
      <c r="N424" s="162"/>
    </row>
    <row r="425" spans="2:14" ht="15.75" thickBot="1" x14ac:dyDescent="0.3">
      <c r="B425" s="148"/>
      <c r="C425" s="149">
        <v>29301026</v>
      </c>
      <c r="D425" s="149" t="s">
        <v>738</v>
      </c>
      <c r="E425" s="160">
        <v>3000000</v>
      </c>
      <c r="F425" s="160">
        <v>3000000</v>
      </c>
      <c r="G425" s="160">
        <v>0</v>
      </c>
      <c r="H425" s="160">
        <v>0</v>
      </c>
      <c r="I425" s="157"/>
      <c r="J425" s="149">
        <v>0</v>
      </c>
      <c r="K425" s="149">
        <v>3000000</v>
      </c>
      <c r="L425" s="149">
        <v>3000000</v>
      </c>
      <c r="M425" s="149" t="s">
        <v>586</v>
      </c>
      <c r="N425" s="162"/>
    </row>
    <row r="426" spans="2:14" ht="15.75" thickBot="1" x14ac:dyDescent="0.3">
      <c r="B426" s="148"/>
      <c r="C426" s="149">
        <v>29301027</v>
      </c>
      <c r="D426" s="149" t="s">
        <v>739</v>
      </c>
      <c r="E426" s="160">
        <v>180000</v>
      </c>
      <c r="F426" s="160">
        <v>180000</v>
      </c>
      <c r="G426" s="160">
        <v>0</v>
      </c>
      <c r="H426" s="160">
        <v>0</v>
      </c>
      <c r="I426" s="157"/>
      <c r="J426" s="149">
        <v>0</v>
      </c>
      <c r="K426" s="149">
        <v>180000</v>
      </c>
      <c r="L426" s="149">
        <v>180000</v>
      </c>
      <c r="M426" s="149" t="s">
        <v>586</v>
      </c>
      <c r="N426" s="162"/>
    </row>
    <row r="427" spans="2:14" ht="15.75" thickBot="1" x14ac:dyDescent="0.3">
      <c r="B427" s="148"/>
      <c r="C427" s="149">
        <v>29302001</v>
      </c>
      <c r="D427" s="149" t="s">
        <v>322</v>
      </c>
      <c r="E427" s="160">
        <v>100000</v>
      </c>
      <c r="F427" s="160">
        <v>100000</v>
      </c>
      <c r="G427" s="160">
        <v>0</v>
      </c>
      <c r="H427" s="160">
        <v>14000</v>
      </c>
      <c r="I427" s="157"/>
      <c r="J427" s="149">
        <v>0</v>
      </c>
      <c r="K427" s="149">
        <v>100000</v>
      </c>
      <c r="L427" s="149">
        <v>100000</v>
      </c>
      <c r="M427" s="149" t="s">
        <v>586</v>
      </c>
      <c r="N427" s="162"/>
    </row>
    <row r="428" spans="2:14" ht="15.75" thickBot="1" x14ac:dyDescent="0.3">
      <c r="B428" s="148"/>
      <c r="C428" s="149">
        <v>29302002</v>
      </c>
      <c r="D428" s="149" t="s">
        <v>323</v>
      </c>
      <c r="E428" s="160">
        <v>100000</v>
      </c>
      <c r="F428" s="160">
        <v>100000</v>
      </c>
      <c r="G428" s="160">
        <v>0</v>
      </c>
      <c r="H428" s="160">
        <v>0</v>
      </c>
      <c r="I428" s="157"/>
      <c r="J428" s="149">
        <v>0</v>
      </c>
      <c r="K428" s="149">
        <v>100000</v>
      </c>
      <c r="L428" s="149">
        <v>100000</v>
      </c>
      <c r="M428" s="149" t="s">
        <v>586</v>
      </c>
      <c r="N428" s="162"/>
    </row>
    <row r="429" spans="2:14" ht="15.75" thickBot="1" x14ac:dyDescent="0.3">
      <c r="B429" s="148"/>
      <c r="C429" s="149">
        <v>29302003</v>
      </c>
      <c r="D429" s="149" t="s">
        <v>324</v>
      </c>
      <c r="E429" s="160">
        <v>100000</v>
      </c>
      <c r="F429" s="160">
        <v>100000</v>
      </c>
      <c r="G429" s="160">
        <v>0</v>
      </c>
      <c r="H429" s="160">
        <v>0</v>
      </c>
      <c r="I429" s="157"/>
      <c r="J429" s="149">
        <v>0</v>
      </c>
      <c r="K429" s="149">
        <v>100000</v>
      </c>
      <c r="L429" s="149">
        <v>100000</v>
      </c>
      <c r="M429" s="149" t="s">
        <v>586</v>
      </c>
      <c r="N429" s="162"/>
    </row>
    <row r="430" spans="2:14" ht="15.75" thickBot="1" x14ac:dyDescent="0.3">
      <c r="B430" s="148"/>
      <c r="C430" s="149">
        <v>29302004</v>
      </c>
      <c r="D430" s="149" t="s">
        <v>740</v>
      </c>
      <c r="E430" s="160">
        <v>100000</v>
      </c>
      <c r="F430" s="160">
        <v>100000</v>
      </c>
      <c r="G430" s="160">
        <v>0</v>
      </c>
      <c r="H430" s="160">
        <v>75000</v>
      </c>
      <c r="I430" s="157"/>
      <c r="J430" s="149">
        <v>0</v>
      </c>
      <c r="K430" s="149">
        <v>100000</v>
      </c>
      <c r="L430" s="149">
        <v>100000</v>
      </c>
      <c r="M430" s="149" t="s">
        <v>586</v>
      </c>
      <c r="N430" s="162"/>
    </row>
    <row r="431" spans="2:14" ht="15.75" thickBot="1" x14ac:dyDescent="0.3">
      <c r="B431" s="148"/>
      <c r="C431" s="149">
        <v>29302005</v>
      </c>
      <c r="D431" s="149" t="s">
        <v>741</v>
      </c>
      <c r="E431" s="160">
        <v>100000</v>
      </c>
      <c r="F431" s="160">
        <v>100000</v>
      </c>
      <c r="G431" s="160">
        <v>40304</v>
      </c>
      <c r="H431" s="160">
        <v>50001</v>
      </c>
      <c r="I431" s="157"/>
      <c r="J431" s="149">
        <v>40304</v>
      </c>
      <c r="K431" s="149">
        <v>100000</v>
      </c>
      <c r="L431" s="149">
        <v>100000</v>
      </c>
      <c r="M431" s="149" t="s">
        <v>586</v>
      </c>
      <c r="N431" s="162"/>
    </row>
    <row r="432" spans="2:14" ht="27" thickBot="1" x14ac:dyDescent="0.3">
      <c r="B432" s="148"/>
      <c r="C432" s="149">
        <v>29302006</v>
      </c>
      <c r="D432" s="149" t="s">
        <v>742</v>
      </c>
      <c r="E432" s="160">
        <v>1000000</v>
      </c>
      <c r="F432" s="160">
        <v>1000000</v>
      </c>
      <c r="G432" s="160">
        <v>0</v>
      </c>
      <c r="H432" s="160">
        <v>0</v>
      </c>
      <c r="I432" s="157"/>
      <c r="J432" s="149">
        <v>0</v>
      </c>
      <c r="K432" s="149">
        <v>100000</v>
      </c>
      <c r="L432" s="149">
        <v>100000</v>
      </c>
      <c r="M432" s="149" t="s">
        <v>586</v>
      </c>
      <c r="N432" s="162"/>
    </row>
    <row r="433" spans="2:14" ht="15.75" thickBot="1" x14ac:dyDescent="0.3">
      <c r="B433" s="148"/>
      <c r="C433" s="149">
        <v>29302007</v>
      </c>
      <c r="D433" s="149" t="s">
        <v>472</v>
      </c>
      <c r="E433" s="160">
        <v>200000</v>
      </c>
      <c r="F433" s="160">
        <v>200000</v>
      </c>
      <c r="G433" s="160">
        <v>0</v>
      </c>
      <c r="H433" s="160">
        <v>0</v>
      </c>
      <c r="I433" s="157"/>
      <c r="J433" s="149">
        <v>0</v>
      </c>
      <c r="K433" s="149">
        <v>200000</v>
      </c>
      <c r="L433" s="149">
        <v>200000</v>
      </c>
      <c r="M433" s="149" t="s">
        <v>586</v>
      </c>
      <c r="N433" s="162"/>
    </row>
    <row r="434" spans="2:14" ht="15.75" thickBot="1" x14ac:dyDescent="0.3">
      <c r="B434" s="148"/>
      <c r="C434" s="149">
        <v>29302008</v>
      </c>
      <c r="D434" s="149" t="s">
        <v>743</v>
      </c>
      <c r="E434" s="160">
        <v>75000</v>
      </c>
      <c r="F434" s="160">
        <v>75000</v>
      </c>
      <c r="G434" s="160">
        <v>0</v>
      </c>
      <c r="H434" s="160">
        <v>0</v>
      </c>
      <c r="I434" s="157"/>
      <c r="J434" s="149">
        <v>0</v>
      </c>
      <c r="K434" s="149">
        <v>75000</v>
      </c>
      <c r="L434" s="149">
        <v>75000</v>
      </c>
      <c r="M434" s="149" t="s">
        <v>586</v>
      </c>
      <c r="N434" s="162"/>
    </row>
    <row r="435" spans="2:14" ht="15.75" thickBot="1" x14ac:dyDescent="0.3">
      <c r="B435" s="148"/>
      <c r="C435" s="149">
        <v>29302009</v>
      </c>
      <c r="D435" s="149" t="s">
        <v>744</v>
      </c>
      <c r="E435" s="160">
        <v>70000</v>
      </c>
      <c r="F435" s="160">
        <v>70000</v>
      </c>
      <c r="G435" s="160">
        <v>0</v>
      </c>
      <c r="H435" s="160">
        <v>25800</v>
      </c>
      <c r="I435" s="157"/>
      <c r="J435" s="149">
        <v>0</v>
      </c>
      <c r="K435" s="149">
        <v>70000</v>
      </c>
      <c r="L435" s="149">
        <v>70000</v>
      </c>
      <c r="M435" s="149" t="s">
        <v>586</v>
      </c>
      <c r="N435" s="162"/>
    </row>
    <row r="436" spans="2:14" ht="15.75" thickBot="1" x14ac:dyDescent="0.3">
      <c r="B436" s="148"/>
      <c r="C436" s="149">
        <v>29401001</v>
      </c>
      <c r="D436" s="149" t="s">
        <v>745</v>
      </c>
      <c r="E436" s="160">
        <v>50000</v>
      </c>
      <c r="F436" s="160">
        <v>50000</v>
      </c>
      <c r="G436" s="160">
        <v>32413</v>
      </c>
      <c r="H436" s="160">
        <v>0</v>
      </c>
      <c r="I436" s="157"/>
      <c r="J436" s="149">
        <v>32413</v>
      </c>
      <c r="K436" s="149">
        <v>50000</v>
      </c>
      <c r="L436" s="149">
        <v>50000</v>
      </c>
      <c r="M436" s="149" t="s">
        <v>586</v>
      </c>
      <c r="N436" s="162"/>
    </row>
    <row r="437" spans="2:14" ht="15.75" thickBot="1" x14ac:dyDescent="0.3">
      <c r="B437" s="148"/>
      <c r="C437" s="149">
        <v>29401002</v>
      </c>
      <c r="D437" s="149" t="s">
        <v>746</v>
      </c>
      <c r="E437" s="160">
        <v>100000</v>
      </c>
      <c r="F437" s="160">
        <v>115000</v>
      </c>
      <c r="G437" s="160">
        <v>114407.4</v>
      </c>
      <c r="H437" s="160">
        <v>0</v>
      </c>
      <c r="I437" s="157"/>
      <c r="J437" s="149">
        <v>114407.41</v>
      </c>
      <c r="K437" s="149">
        <v>100000</v>
      </c>
      <c r="L437" s="149">
        <v>100000</v>
      </c>
      <c r="M437" s="149" t="s">
        <v>586</v>
      </c>
      <c r="N437" s="162"/>
    </row>
    <row r="438" spans="2:14" ht="15.75" thickBot="1" x14ac:dyDescent="0.3">
      <c r="B438" s="148"/>
      <c r="C438" s="149">
        <v>29401003</v>
      </c>
      <c r="D438" s="149" t="s">
        <v>747</v>
      </c>
      <c r="E438" s="160">
        <v>20000</v>
      </c>
      <c r="F438" s="160">
        <v>19000</v>
      </c>
      <c r="G438" s="160">
        <v>15145.2</v>
      </c>
      <c r="H438" s="160">
        <v>0</v>
      </c>
      <c r="I438" s="157"/>
      <c r="J438" s="149">
        <v>15145.2</v>
      </c>
      <c r="K438" s="149">
        <v>20000</v>
      </c>
      <c r="L438" s="149">
        <v>20000</v>
      </c>
      <c r="M438" s="149" t="s">
        <v>586</v>
      </c>
      <c r="N438" s="162"/>
    </row>
    <row r="439" spans="2:14" ht="15.75" thickBot="1" x14ac:dyDescent="0.3">
      <c r="B439" s="148"/>
      <c r="C439" s="149">
        <v>29401004</v>
      </c>
      <c r="D439" s="149" t="s">
        <v>748</v>
      </c>
      <c r="E439" s="160">
        <v>100000</v>
      </c>
      <c r="F439" s="160">
        <v>100000</v>
      </c>
      <c r="G439" s="160">
        <v>96174</v>
      </c>
      <c r="H439" s="160">
        <v>0</v>
      </c>
      <c r="I439" s="157"/>
      <c r="J439" s="149">
        <v>96174</v>
      </c>
      <c r="K439" s="149">
        <v>100000</v>
      </c>
      <c r="L439" s="149">
        <v>100000</v>
      </c>
      <c r="M439" s="149" t="s">
        <v>586</v>
      </c>
      <c r="N439" s="162"/>
    </row>
    <row r="440" spans="2:14" ht="15.75" thickBot="1" x14ac:dyDescent="0.3">
      <c r="B440" s="148"/>
      <c r="C440" s="149">
        <v>29401005</v>
      </c>
      <c r="D440" s="149" t="s">
        <v>749</v>
      </c>
      <c r="E440" s="160">
        <v>10000</v>
      </c>
      <c r="F440" s="160">
        <v>10000</v>
      </c>
      <c r="G440" s="160">
        <v>3860</v>
      </c>
      <c r="H440" s="160">
        <v>0</v>
      </c>
      <c r="I440" s="157"/>
      <c r="J440" s="149">
        <v>3860</v>
      </c>
      <c r="K440" s="149">
        <v>10000</v>
      </c>
      <c r="L440" s="149">
        <v>10000</v>
      </c>
      <c r="M440" s="149" t="s">
        <v>586</v>
      </c>
      <c r="N440" s="162"/>
    </row>
    <row r="441" spans="2:14" ht="15.75" thickBot="1" x14ac:dyDescent="0.3">
      <c r="B441" s="148"/>
      <c r="C441" s="149">
        <v>29402001</v>
      </c>
      <c r="D441" s="149" t="s">
        <v>750</v>
      </c>
      <c r="E441" s="160">
        <v>1160000</v>
      </c>
      <c r="F441" s="160">
        <v>1876000</v>
      </c>
      <c r="G441" s="160">
        <v>1841547</v>
      </c>
      <c r="H441" s="160">
        <v>0</v>
      </c>
      <c r="I441" s="157"/>
      <c r="J441" s="149">
        <v>1841547</v>
      </c>
      <c r="K441" s="149">
        <v>1160000</v>
      </c>
      <c r="L441" s="149">
        <v>1160000</v>
      </c>
      <c r="M441" s="149" t="s">
        <v>586</v>
      </c>
      <c r="N441" s="162"/>
    </row>
    <row r="442" spans="2:14" ht="15.75" thickBot="1" x14ac:dyDescent="0.3">
      <c r="B442" s="148"/>
      <c r="C442" s="149">
        <v>29402002</v>
      </c>
      <c r="D442" s="149" t="s">
        <v>751</v>
      </c>
      <c r="E442" s="160">
        <v>20000</v>
      </c>
      <c r="F442" s="160">
        <v>130000</v>
      </c>
      <c r="G442" s="160">
        <v>18172.5</v>
      </c>
      <c r="H442" s="160">
        <v>0</v>
      </c>
      <c r="I442" s="157"/>
      <c r="J442" s="149">
        <v>18172.5</v>
      </c>
      <c r="K442" s="149">
        <v>20000</v>
      </c>
      <c r="L442" s="149">
        <v>20000</v>
      </c>
      <c r="M442" s="149" t="s">
        <v>586</v>
      </c>
      <c r="N442" s="162"/>
    </row>
    <row r="443" spans="2:14" ht="15.75" thickBot="1" x14ac:dyDescent="0.3">
      <c r="B443" s="148"/>
      <c r="C443" s="149">
        <v>29402003</v>
      </c>
      <c r="D443" s="149" t="s">
        <v>752</v>
      </c>
      <c r="E443" s="160">
        <v>25000</v>
      </c>
      <c r="F443" s="160">
        <v>48000</v>
      </c>
      <c r="G443" s="160">
        <v>31486.5</v>
      </c>
      <c r="H443" s="160">
        <v>0</v>
      </c>
      <c r="I443" s="157"/>
      <c r="J443" s="149">
        <v>31486.5</v>
      </c>
      <c r="K443" s="149">
        <v>25000</v>
      </c>
      <c r="L443" s="149">
        <v>25000</v>
      </c>
      <c r="M443" s="149" t="s">
        <v>586</v>
      </c>
      <c r="N443" s="162"/>
    </row>
    <row r="444" spans="2:14" ht="15.75" thickBot="1" x14ac:dyDescent="0.3">
      <c r="B444" s="148"/>
      <c r="C444" s="149">
        <v>29402005</v>
      </c>
      <c r="D444" s="149" t="s">
        <v>753</v>
      </c>
      <c r="E444" s="160">
        <v>15000</v>
      </c>
      <c r="F444" s="160">
        <v>17000</v>
      </c>
      <c r="G444" s="160">
        <v>12780</v>
      </c>
      <c r="H444" s="160">
        <v>0</v>
      </c>
      <c r="I444" s="157"/>
      <c r="J444" s="149">
        <v>12780</v>
      </c>
      <c r="K444" s="149">
        <v>15000</v>
      </c>
      <c r="L444" s="149">
        <v>15000</v>
      </c>
      <c r="M444" s="149" t="s">
        <v>586</v>
      </c>
      <c r="N444" s="162"/>
    </row>
    <row r="445" spans="2:14" ht="15" thickBot="1" x14ac:dyDescent="0.25">
      <c r="B445" s="152"/>
      <c r="C445" s="37"/>
      <c r="D445" s="37"/>
      <c r="E445" s="159"/>
      <c r="F445" s="159"/>
      <c r="G445" s="159"/>
      <c r="H445" s="159"/>
      <c r="J445" s="37"/>
      <c r="K445" s="37"/>
      <c r="L445" s="37"/>
      <c r="M445" s="37"/>
      <c r="N445" s="163"/>
    </row>
    <row r="446" spans="2:14" ht="30.75" thickBot="1" x14ac:dyDescent="0.3">
      <c r="B446" s="148" t="s">
        <v>754</v>
      </c>
      <c r="C446" s="149">
        <v>24701001</v>
      </c>
      <c r="D446" s="149" t="s">
        <v>755</v>
      </c>
      <c r="E446" s="160">
        <v>1150000</v>
      </c>
      <c r="F446" s="160">
        <v>1150000</v>
      </c>
      <c r="G446" s="160">
        <v>502224.00300000003</v>
      </c>
      <c r="H446" s="160">
        <v>600958.60900000005</v>
      </c>
      <c r="I446" s="157"/>
      <c r="J446" s="149">
        <v>502224</v>
      </c>
      <c r="K446" s="149">
        <v>1150000</v>
      </c>
      <c r="L446" s="149">
        <v>1150000</v>
      </c>
      <c r="M446" s="149" t="s">
        <v>586</v>
      </c>
      <c r="N446" s="162"/>
    </row>
    <row r="447" spans="2:14" ht="15.75" thickBot="1" x14ac:dyDescent="0.3">
      <c r="B447" s="148"/>
      <c r="C447" s="149">
        <v>25501001</v>
      </c>
      <c r="D447" s="149" t="s">
        <v>756</v>
      </c>
      <c r="E447" s="160">
        <v>620000</v>
      </c>
      <c r="F447" s="160">
        <v>511000</v>
      </c>
      <c r="G447" s="160">
        <v>60778.512999999999</v>
      </c>
      <c r="H447" s="160">
        <v>423295.62400000001</v>
      </c>
      <c r="I447" s="157"/>
      <c r="J447" s="149">
        <v>60778.516000000003</v>
      </c>
      <c r="K447" s="149">
        <v>620000</v>
      </c>
      <c r="L447" s="149">
        <v>620000</v>
      </c>
      <c r="M447" s="149" t="s">
        <v>586</v>
      </c>
      <c r="N447" s="162"/>
    </row>
    <row r="448" spans="2:14" ht="15.75" thickBot="1" x14ac:dyDescent="0.3">
      <c r="B448" s="148"/>
      <c r="C448" s="149">
        <v>27001001</v>
      </c>
      <c r="D448" s="149" t="s">
        <v>757</v>
      </c>
      <c r="E448" s="160">
        <v>884000</v>
      </c>
      <c r="F448" s="160">
        <v>884000</v>
      </c>
      <c r="G448" s="160">
        <v>64707.563000000002</v>
      </c>
      <c r="H448" s="160">
        <v>582664.179</v>
      </c>
      <c r="I448" s="157"/>
      <c r="J448" s="149">
        <v>64707.565999999999</v>
      </c>
      <c r="K448" s="149">
        <v>884000</v>
      </c>
      <c r="L448" s="149">
        <v>884000</v>
      </c>
      <c r="M448" s="149" t="s">
        <v>586</v>
      </c>
      <c r="N448" s="16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O117"/>
  <sheetViews>
    <sheetView rightToLeft="1" workbookViewId="0">
      <pane ySplit="1" topLeftCell="A2" activePane="bottomLeft" state="frozen"/>
      <selection pane="bottomLeft" activeCell="O117" sqref="B1:O117"/>
    </sheetView>
  </sheetViews>
  <sheetFormatPr defaultRowHeight="14.25" x14ac:dyDescent="0.2"/>
  <cols>
    <col min="1" max="1" width="1.875" customWidth="1"/>
    <col min="2" max="2" width="29.125" bestFit="1" customWidth="1"/>
    <col min="3" max="3" width="7.875" bestFit="1" customWidth="1"/>
    <col min="4" max="4" width="36" bestFit="1" customWidth="1"/>
    <col min="5" max="6" width="8.375" customWidth="1"/>
    <col min="7" max="8" width="2.625" style="1" customWidth="1"/>
    <col min="9" max="13" width="8.375" customWidth="1"/>
    <col min="14" max="14" width="10.125" bestFit="1" customWidth="1"/>
    <col min="15" max="15" width="6.625" customWidth="1"/>
  </cols>
  <sheetData>
    <row r="1" spans="2:15" ht="39" thickBot="1" x14ac:dyDescent="0.25">
      <c r="B1" s="151" t="s">
        <v>326</v>
      </c>
      <c r="C1" s="151" t="s">
        <v>328</v>
      </c>
      <c r="D1" s="151" t="s">
        <v>329</v>
      </c>
      <c r="E1" s="151" t="s">
        <v>577</v>
      </c>
      <c r="F1" s="151" t="s">
        <v>585</v>
      </c>
      <c r="G1" s="156"/>
      <c r="H1" s="156"/>
      <c r="I1" s="151" t="s">
        <v>578</v>
      </c>
      <c r="J1" s="151" t="s">
        <v>579</v>
      </c>
      <c r="K1" s="151" t="s">
        <v>580</v>
      </c>
      <c r="L1" s="151" t="s">
        <v>581</v>
      </c>
      <c r="M1" s="151" t="s">
        <v>582</v>
      </c>
      <c r="N1" s="151" t="s">
        <v>583</v>
      </c>
      <c r="O1" s="151" t="s">
        <v>584</v>
      </c>
    </row>
    <row r="2" spans="2:15" ht="15.75" thickBot="1" x14ac:dyDescent="0.3">
      <c r="B2" s="148" t="s">
        <v>758</v>
      </c>
      <c r="C2" s="149">
        <v>10102001</v>
      </c>
      <c r="D2" s="149" t="s">
        <v>143</v>
      </c>
      <c r="E2" s="158">
        <v>7300000</v>
      </c>
      <c r="F2" s="158">
        <v>5943026.4919999996</v>
      </c>
      <c r="I2" s="149">
        <v>-7300000</v>
      </c>
      <c r="J2" s="149">
        <v>5943027</v>
      </c>
      <c r="K2" s="149">
        <v>0</v>
      </c>
      <c r="L2" s="149">
        <v>6500000</v>
      </c>
      <c r="M2" s="149">
        <v>6500000</v>
      </c>
      <c r="N2" s="149" t="s">
        <v>586</v>
      </c>
      <c r="O2" s="150"/>
    </row>
    <row r="3" spans="2:15" ht="15.75" thickBot="1" x14ac:dyDescent="0.3">
      <c r="B3" s="148"/>
      <c r="C3" s="149">
        <v>10102002</v>
      </c>
      <c r="D3" s="149" t="s">
        <v>144</v>
      </c>
      <c r="E3" s="158">
        <v>1100000</v>
      </c>
      <c r="F3" s="158">
        <v>1173473</v>
      </c>
      <c r="I3" s="149">
        <v>-1100000</v>
      </c>
      <c r="J3" s="149">
        <v>1173473</v>
      </c>
      <c r="K3" s="149">
        <v>0</v>
      </c>
      <c r="L3" s="149">
        <v>1300000</v>
      </c>
      <c r="M3" s="149">
        <v>1300000</v>
      </c>
      <c r="N3" s="149" t="s">
        <v>586</v>
      </c>
      <c r="O3" s="150"/>
    </row>
    <row r="4" spans="2:15" ht="15.75" thickBot="1" x14ac:dyDescent="0.3">
      <c r="B4" s="148"/>
      <c r="C4" s="149">
        <v>10102004</v>
      </c>
      <c r="D4" s="149" t="s">
        <v>145</v>
      </c>
      <c r="E4" s="158">
        <v>92000</v>
      </c>
      <c r="F4" s="158">
        <v>38550</v>
      </c>
      <c r="I4" s="149">
        <v>-92000</v>
      </c>
      <c r="J4" s="149">
        <v>38550</v>
      </c>
      <c r="K4" s="149">
        <v>0</v>
      </c>
      <c r="L4" s="149">
        <v>40000</v>
      </c>
      <c r="M4" s="149">
        <v>40000</v>
      </c>
      <c r="N4" s="149" t="s">
        <v>586</v>
      </c>
      <c r="O4" s="150"/>
    </row>
    <row r="5" spans="2:15" ht="15.75" thickBot="1" x14ac:dyDescent="0.3">
      <c r="B5" s="148"/>
      <c r="C5" s="149">
        <v>10102005</v>
      </c>
      <c r="D5" s="149" t="s">
        <v>759</v>
      </c>
      <c r="E5" s="158">
        <v>4000</v>
      </c>
      <c r="F5" s="158">
        <v>11990</v>
      </c>
      <c r="I5" s="149">
        <v>-4000</v>
      </c>
      <c r="J5" s="149">
        <v>11990</v>
      </c>
      <c r="K5" s="149">
        <v>0</v>
      </c>
      <c r="L5" s="149">
        <v>15000</v>
      </c>
      <c r="M5" s="149">
        <v>15000</v>
      </c>
      <c r="N5" s="149" t="s">
        <v>586</v>
      </c>
      <c r="O5" s="150"/>
    </row>
    <row r="6" spans="2:15" ht="15.75" thickBot="1" x14ac:dyDescent="0.3">
      <c r="B6" s="148"/>
      <c r="C6" s="149">
        <v>10102006</v>
      </c>
      <c r="D6" s="149" t="s">
        <v>146</v>
      </c>
      <c r="E6" s="158">
        <v>400000</v>
      </c>
      <c r="F6" s="158">
        <v>270169.95</v>
      </c>
      <c r="I6" s="149">
        <v>-400000</v>
      </c>
      <c r="J6" s="149">
        <v>270169.94</v>
      </c>
      <c r="K6" s="149">
        <v>0</v>
      </c>
      <c r="L6" s="149">
        <v>300000</v>
      </c>
      <c r="M6" s="149">
        <v>300000</v>
      </c>
      <c r="N6" s="149" t="s">
        <v>586</v>
      </c>
      <c r="O6" s="150"/>
    </row>
    <row r="7" spans="2:15" ht="15.75" thickBot="1" x14ac:dyDescent="0.3">
      <c r="B7" s="148"/>
      <c r="C7" s="149">
        <v>10103001</v>
      </c>
      <c r="D7" s="149" t="s">
        <v>147</v>
      </c>
      <c r="E7" s="158">
        <v>500</v>
      </c>
      <c r="F7" s="158">
        <v>0</v>
      </c>
      <c r="I7" s="149">
        <v>-500</v>
      </c>
      <c r="J7" s="149">
        <v>0</v>
      </c>
      <c r="K7" s="149">
        <v>0</v>
      </c>
      <c r="L7" s="149">
        <v>0</v>
      </c>
      <c r="M7" s="149">
        <v>0</v>
      </c>
      <c r="N7" s="149" t="s">
        <v>602</v>
      </c>
      <c r="O7" s="150"/>
    </row>
    <row r="8" spans="2:15" ht="15.75" thickBot="1" x14ac:dyDescent="0.3">
      <c r="B8" s="148"/>
      <c r="C8" s="149">
        <v>10103002</v>
      </c>
      <c r="D8" s="149" t="s">
        <v>148</v>
      </c>
      <c r="E8" s="158">
        <v>50</v>
      </c>
      <c r="F8" s="158">
        <v>0</v>
      </c>
      <c r="I8" s="149">
        <v>-50</v>
      </c>
      <c r="J8" s="149">
        <v>0</v>
      </c>
      <c r="K8" s="149">
        <v>0</v>
      </c>
      <c r="L8" s="149">
        <v>0</v>
      </c>
      <c r="M8" s="149">
        <v>0</v>
      </c>
      <c r="N8" s="149" t="s">
        <v>602</v>
      </c>
      <c r="O8" s="150"/>
    </row>
    <row r="9" spans="2:15" ht="15.75" thickBot="1" x14ac:dyDescent="0.3">
      <c r="B9" s="148"/>
      <c r="C9" s="149">
        <v>10103006</v>
      </c>
      <c r="D9" s="149" t="s">
        <v>149</v>
      </c>
      <c r="E9" s="158">
        <v>1000</v>
      </c>
      <c r="F9" s="158">
        <v>500</v>
      </c>
      <c r="I9" s="149">
        <v>-1000</v>
      </c>
      <c r="J9" s="149">
        <v>500</v>
      </c>
      <c r="K9" s="149">
        <v>0</v>
      </c>
      <c r="L9" s="149">
        <v>1000</v>
      </c>
      <c r="M9" s="149">
        <v>1000</v>
      </c>
      <c r="N9" s="149" t="s">
        <v>586</v>
      </c>
      <c r="O9" s="150"/>
    </row>
    <row r="10" spans="2:15" ht="15.75" thickBot="1" x14ac:dyDescent="0.3">
      <c r="B10" s="148"/>
      <c r="C10" s="149">
        <v>10104001</v>
      </c>
      <c r="D10" s="149" t="s">
        <v>150</v>
      </c>
      <c r="E10" s="158">
        <v>5610000</v>
      </c>
      <c r="F10" s="158">
        <v>5744073.4840000002</v>
      </c>
      <c r="I10" s="149">
        <v>-5610000</v>
      </c>
      <c r="J10" s="149">
        <v>5744073.5</v>
      </c>
      <c r="K10" s="149">
        <v>0</v>
      </c>
      <c r="L10" s="149">
        <v>7500000</v>
      </c>
      <c r="M10" s="149">
        <v>7500000</v>
      </c>
      <c r="N10" s="149" t="s">
        <v>586</v>
      </c>
      <c r="O10" s="150"/>
    </row>
    <row r="11" spans="2:15" ht="15.75" thickBot="1" x14ac:dyDescent="0.3">
      <c r="B11" s="148"/>
      <c r="C11" s="149">
        <v>10104002</v>
      </c>
      <c r="D11" s="149" t="s">
        <v>151</v>
      </c>
      <c r="E11" s="158">
        <v>1200000</v>
      </c>
      <c r="F11" s="158">
        <v>1020588.982</v>
      </c>
      <c r="I11" s="149">
        <v>-1200000</v>
      </c>
      <c r="J11" s="149">
        <v>1020589</v>
      </c>
      <c r="K11" s="149">
        <v>0</v>
      </c>
      <c r="L11" s="149">
        <v>1250000</v>
      </c>
      <c r="M11" s="149">
        <v>1250000</v>
      </c>
      <c r="N11" s="149" t="s">
        <v>586</v>
      </c>
      <c r="O11" s="150"/>
    </row>
    <row r="12" spans="2:15" ht="15.75" thickBot="1" x14ac:dyDescent="0.3">
      <c r="B12" s="148"/>
      <c r="C12" s="149">
        <v>10104004</v>
      </c>
      <c r="D12" s="149" t="s">
        <v>152</v>
      </c>
      <c r="E12" s="158">
        <v>50000</v>
      </c>
      <c r="F12" s="158">
        <v>15821.7</v>
      </c>
      <c r="I12" s="149">
        <v>-50000</v>
      </c>
      <c r="J12" s="149">
        <v>15821.7</v>
      </c>
      <c r="K12" s="149">
        <v>0</v>
      </c>
      <c r="L12" s="149">
        <v>20000</v>
      </c>
      <c r="M12" s="149">
        <v>20000</v>
      </c>
      <c r="N12" s="149" t="s">
        <v>586</v>
      </c>
      <c r="O12" s="150"/>
    </row>
    <row r="13" spans="2:15" ht="15.75" thickBot="1" x14ac:dyDescent="0.3">
      <c r="B13" s="148"/>
      <c r="C13" s="149">
        <v>10104005</v>
      </c>
      <c r="D13" s="149" t="s">
        <v>760</v>
      </c>
      <c r="E13" s="158">
        <v>70000</v>
      </c>
      <c r="F13" s="158">
        <v>22825</v>
      </c>
      <c r="I13" s="149">
        <v>-70000</v>
      </c>
      <c r="J13" s="149">
        <v>22825</v>
      </c>
      <c r="K13" s="149">
        <v>0</v>
      </c>
      <c r="L13" s="149">
        <v>25000</v>
      </c>
      <c r="M13" s="149">
        <v>25000</v>
      </c>
      <c r="N13" s="149" t="s">
        <v>586</v>
      </c>
      <c r="O13" s="150"/>
    </row>
    <row r="14" spans="2:15" ht="15.75" thickBot="1" x14ac:dyDescent="0.3">
      <c r="B14" s="148"/>
      <c r="C14" s="149">
        <v>10104006</v>
      </c>
      <c r="D14" s="149" t="s">
        <v>153</v>
      </c>
      <c r="E14" s="158">
        <v>210000</v>
      </c>
      <c r="F14" s="158">
        <v>164109.66200000001</v>
      </c>
      <c r="I14" s="149">
        <v>-210000</v>
      </c>
      <c r="J14" s="149">
        <v>164109.66</v>
      </c>
      <c r="K14" s="149">
        <v>0</v>
      </c>
      <c r="L14" s="149">
        <v>175000</v>
      </c>
      <c r="M14" s="149">
        <v>175000</v>
      </c>
      <c r="N14" s="149" t="s">
        <v>586</v>
      </c>
      <c r="O14" s="150"/>
    </row>
    <row r="15" spans="2:15" ht="15.75" thickBot="1" x14ac:dyDescent="0.3">
      <c r="B15" s="148"/>
      <c r="C15" s="149">
        <v>10107001</v>
      </c>
      <c r="D15" s="149" t="s">
        <v>154</v>
      </c>
      <c r="E15" s="158">
        <v>930000</v>
      </c>
      <c r="F15" s="158">
        <v>436736.652</v>
      </c>
      <c r="I15" s="149">
        <v>-930000</v>
      </c>
      <c r="J15" s="149">
        <v>436736.66</v>
      </c>
      <c r="K15" s="149">
        <v>0</v>
      </c>
      <c r="L15" s="149">
        <v>500000</v>
      </c>
      <c r="M15" s="149">
        <v>500000</v>
      </c>
      <c r="N15" s="149" t="s">
        <v>586</v>
      </c>
      <c r="O15" s="150"/>
    </row>
    <row r="16" spans="2:15" ht="15.75" thickBot="1" x14ac:dyDescent="0.3">
      <c r="B16" s="148"/>
      <c r="C16" s="149">
        <v>10107002</v>
      </c>
      <c r="D16" s="149" t="s">
        <v>155</v>
      </c>
      <c r="E16" s="158">
        <v>155000</v>
      </c>
      <c r="F16" s="158">
        <v>83363</v>
      </c>
      <c r="I16" s="149">
        <v>-155000</v>
      </c>
      <c r="J16" s="149">
        <v>83363</v>
      </c>
      <c r="K16" s="149">
        <v>0</v>
      </c>
      <c r="L16" s="149">
        <v>85000</v>
      </c>
      <c r="M16" s="149">
        <v>85000</v>
      </c>
      <c r="N16" s="149" t="s">
        <v>586</v>
      </c>
      <c r="O16" s="150"/>
    </row>
    <row r="17" spans="2:15" ht="15.75" thickBot="1" x14ac:dyDescent="0.3">
      <c r="B17" s="148"/>
      <c r="C17" s="149">
        <v>10107003</v>
      </c>
      <c r="D17" s="149" t="s">
        <v>156</v>
      </c>
      <c r="E17" s="158">
        <v>70000</v>
      </c>
      <c r="F17" s="158">
        <v>44112.7</v>
      </c>
      <c r="I17" s="149">
        <v>-70000</v>
      </c>
      <c r="J17" s="149">
        <v>44112.7</v>
      </c>
      <c r="K17" s="149">
        <v>0</v>
      </c>
      <c r="L17" s="149">
        <v>40000</v>
      </c>
      <c r="M17" s="149">
        <v>40000</v>
      </c>
      <c r="N17" s="149" t="s">
        <v>586</v>
      </c>
      <c r="O17" s="150"/>
    </row>
    <row r="18" spans="2:15" ht="15.75" thickBot="1" x14ac:dyDescent="0.3">
      <c r="B18" s="148"/>
      <c r="C18" s="149">
        <v>10107004</v>
      </c>
      <c r="D18" s="149" t="s">
        <v>157</v>
      </c>
      <c r="E18" s="158">
        <v>40000</v>
      </c>
      <c r="F18" s="158">
        <v>34100</v>
      </c>
      <c r="I18" s="149">
        <v>-40000</v>
      </c>
      <c r="J18" s="149">
        <v>34100</v>
      </c>
      <c r="K18" s="149">
        <v>0</v>
      </c>
      <c r="L18" s="149">
        <v>30000</v>
      </c>
      <c r="M18" s="149">
        <v>30000</v>
      </c>
      <c r="N18" s="149" t="s">
        <v>586</v>
      </c>
      <c r="O18" s="150"/>
    </row>
    <row r="19" spans="2:15" ht="15.75" thickBot="1" x14ac:dyDescent="0.3">
      <c r="B19" s="148"/>
      <c r="C19" s="149">
        <v>10107005</v>
      </c>
      <c r="D19" s="149" t="s">
        <v>158</v>
      </c>
      <c r="E19" s="158">
        <v>10000</v>
      </c>
      <c r="F19" s="158">
        <v>7860</v>
      </c>
      <c r="I19" s="149">
        <v>-10000</v>
      </c>
      <c r="J19" s="149">
        <v>7860</v>
      </c>
      <c r="K19" s="149">
        <v>0</v>
      </c>
      <c r="L19" s="149">
        <v>7000</v>
      </c>
      <c r="M19" s="149">
        <v>7000</v>
      </c>
      <c r="N19" s="149" t="s">
        <v>586</v>
      </c>
      <c r="O19" s="150"/>
    </row>
    <row r="20" spans="2:15" ht="15.75" thickBot="1" x14ac:dyDescent="0.3">
      <c r="B20" s="148"/>
      <c r="C20" s="149">
        <v>10107006</v>
      </c>
      <c r="D20" s="149" t="s">
        <v>159</v>
      </c>
      <c r="E20" s="158">
        <v>25000</v>
      </c>
      <c r="F20" s="158">
        <v>11860.9</v>
      </c>
      <c r="I20" s="149">
        <v>-25000</v>
      </c>
      <c r="J20" s="149">
        <v>11860.9</v>
      </c>
      <c r="K20" s="149">
        <v>0</v>
      </c>
      <c r="L20" s="149">
        <v>10000</v>
      </c>
      <c r="M20" s="149">
        <v>10000</v>
      </c>
      <c r="N20" s="149" t="s">
        <v>586</v>
      </c>
      <c r="O20" s="150"/>
    </row>
    <row r="21" spans="2:15" ht="15.75" thickBot="1" x14ac:dyDescent="0.3">
      <c r="B21" s="148"/>
      <c r="C21" s="149">
        <v>10108001</v>
      </c>
      <c r="D21" s="149" t="s">
        <v>160</v>
      </c>
      <c r="E21" s="158">
        <v>1700000</v>
      </c>
      <c r="F21" s="158">
        <v>1422628.4979999999</v>
      </c>
      <c r="I21" s="149">
        <v>-1700000</v>
      </c>
      <c r="J21" s="149">
        <v>1422628.5</v>
      </c>
      <c r="K21" s="149">
        <v>0</v>
      </c>
      <c r="L21" s="149">
        <v>1600000</v>
      </c>
      <c r="M21" s="149">
        <v>1600000</v>
      </c>
      <c r="N21" s="149" t="s">
        <v>586</v>
      </c>
      <c r="O21" s="150"/>
    </row>
    <row r="22" spans="2:15" ht="15.75" thickBot="1" x14ac:dyDescent="0.3">
      <c r="B22" s="148"/>
      <c r="C22" s="149">
        <v>10108002</v>
      </c>
      <c r="D22" s="149" t="s">
        <v>161</v>
      </c>
      <c r="E22" s="158">
        <v>200000</v>
      </c>
      <c r="F22" s="158">
        <v>203879.16200000001</v>
      </c>
      <c r="I22" s="149">
        <v>-200000</v>
      </c>
      <c r="J22" s="149">
        <v>203879.16</v>
      </c>
      <c r="K22" s="149">
        <v>0</v>
      </c>
      <c r="L22" s="149">
        <v>220000</v>
      </c>
      <c r="M22" s="149">
        <v>220000</v>
      </c>
      <c r="N22" s="149" t="s">
        <v>586</v>
      </c>
      <c r="O22" s="150"/>
    </row>
    <row r="23" spans="2:15" ht="15.75" thickBot="1" x14ac:dyDescent="0.3">
      <c r="B23" s="148"/>
      <c r="C23" s="149">
        <v>10108003</v>
      </c>
      <c r="D23" s="149" t="s">
        <v>162</v>
      </c>
      <c r="E23" s="158">
        <v>190000</v>
      </c>
      <c r="F23" s="158">
        <v>153349.76800000001</v>
      </c>
      <c r="I23" s="149">
        <v>-190000</v>
      </c>
      <c r="J23" s="149">
        <v>153349.76999999999</v>
      </c>
      <c r="K23" s="149">
        <v>0</v>
      </c>
      <c r="L23" s="149">
        <v>170000</v>
      </c>
      <c r="M23" s="149">
        <v>170000</v>
      </c>
      <c r="N23" s="149" t="s">
        <v>586</v>
      </c>
      <c r="O23" s="150"/>
    </row>
    <row r="24" spans="2:15" ht="15.75" thickBot="1" x14ac:dyDescent="0.3">
      <c r="B24" s="148"/>
      <c r="C24" s="149">
        <v>10108004</v>
      </c>
      <c r="D24" s="149" t="s">
        <v>163</v>
      </c>
      <c r="E24" s="158">
        <v>150000</v>
      </c>
      <c r="F24" s="158">
        <v>108055.8</v>
      </c>
      <c r="I24" s="149">
        <v>-150000</v>
      </c>
      <c r="J24" s="149">
        <v>108055.8</v>
      </c>
      <c r="K24" s="149">
        <v>0</v>
      </c>
      <c r="L24" s="149">
        <v>110000</v>
      </c>
      <c r="M24" s="149">
        <v>110000</v>
      </c>
      <c r="N24" s="149" t="s">
        <v>586</v>
      </c>
      <c r="O24" s="150"/>
    </row>
    <row r="25" spans="2:15" ht="15.75" thickBot="1" x14ac:dyDescent="0.3">
      <c r="B25" s="148"/>
      <c r="C25" s="149">
        <v>10108005</v>
      </c>
      <c r="D25" s="149" t="s">
        <v>164</v>
      </c>
      <c r="E25" s="158">
        <v>30000</v>
      </c>
      <c r="F25" s="158">
        <v>21250.092000000001</v>
      </c>
      <c r="I25" s="149">
        <v>-30000</v>
      </c>
      <c r="J25" s="149">
        <v>21250.092000000001</v>
      </c>
      <c r="K25" s="149">
        <v>0</v>
      </c>
      <c r="L25" s="149">
        <v>23000</v>
      </c>
      <c r="M25" s="149">
        <v>23000</v>
      </c>
      <c r="N25" s="149" t="s">
        <v>586</v>
      </c>
      <c r="O25" s="150"/>
    </row>
    <row r="26" spans="2:15" ht="15.75" thickBot="1" x14ac:dyDescent="0.3">
      <c r="B26" s="148"/>
      <c r="C26" s="149">
        <v>10108006</v>
      </c>
      <c r="D26" s="149" t="s">
        <v>165</v>
      </c>
      <c r="E26" s="158">
        <v>80000</v>
      </c>
      <c r="F26" s="158">
        <v>62028.99</v>
      </c>
      <c r="I26" s="149">
        <v>-80000</v>
      </c>
      <c r="J26" s="149">
        <v>62028.99</v>
      </c>
      <c r="K26" s="149">
        <v>0</v>
      </c>
      <c r="L26" s="149">
        <v>75000</v>
      </c>
      <c r="M26" s="149">
        <v>75000</v>
      </c>
      <c r="N26" s="149" t="s">
        <v>586</v>
      </c>
      <c r="O26" s="150"/>
    </row>
    <row r="27" spans="2:15" ht="15.75" thickBot="1" x14ac:dyDescent="0.3">
      <c r="B27" s="148"/>
      <c r="C27" s="149">
        <v>10109001</v>
      </c>
      <c r="D27" s="149" t="s">
        <v>166</v>
      </c>
      <c r="E27" s="158">
        <v>10000</v>
      </c>
      <c r="F27" s="158">
        <v>0</v>
      </c>
      <c r="I27" s="149">
        <v>-10000</v>
      </c>
      <c r="J27" s="149">
        <v>0</v>
      </c>
      <c r="K27" s="149">
        <v>0</v>
      </c>
      <c r="L27" s="149">
        <v>10000</v>
      </c>
      <c r="M27" s="149">
        <v>10000</v>
      </c>
      <c r="N27" s="149" t="s">
        <v>586</v>
      </c>
      <c r="O27" s="150"/>
    </row>
    <row r="28" spans="2:15" ht="15.75" thickBot="1" x14ac:dyDescent="0.3">
      <c r="B28" s="148"/>
      <c r="C28" s="149">
        <v>10109002</v>
      </c>
      <c r="D28" s="149" t="s">
        <v>167</v>
      </c>
      <c r="E28" s="158">
        <v>5000</v>
      </c>
      <c r="F28" s="158">
        <v>0</v>
      </c>
      <c r="I28" s="149">
        <v>-5000</v>
      </c>
      <c r="J28" s="149">
        <v>0</v>
      </c>
      <c r="K28" s="149">
        <v>0</v>
      </c>
      <c r="L28" s="149">
        <v>5000</v>
      </c>
      <c r="M28" s="149">
        <v>5000</v>
      </c>
      <c r="N28" s="149" t="s">
        <v>586</v>
      </c>
      <c r="O28" s="150"/>
    </row>
    <row r="29" spans="2:15" ht="15.75" thickBot="1" x14ac:dyDescent="0.3">
      <c r="B29" s="148"/>
      <c r="C29" s="149">
        <v>10109003</v>
      </c>
      <c r="D29" s="149" t="s">
        <v>168</v>
      </c>
      <c r="E29" s="158">
        <v>5000</v>
      </c>
      <c r="F29" s="158">
        <v>0</v>
      </c>
      <c r="I29" s="149">
        <v>-5000</v>
      </c>
      <c r="J29" s="149">
        <v>0</v>
      </c>
      <c r="K29" s="149">
        <v>0</v>
      </c>
      <c r="L29" s="149">
        <v>5000</v>
      </c>
      <c r="M29" s="149">
        <v>5000</v>
      </c>
      <c r="N29" s="149" t="s">
        <v>586</v>
      </c>
      <c r="O29" s="150"/>
    </row>
    <row r="30" spans="2:15" ht="15.75" thickBot="1" x14ac:dyDescent="0.3">
      <c r="B30" s="148"/>
      <c r="C30" s="149">
        <v>10109004</v>
      </c>
      <c r="D30" s="149" t="s">
        <v>228</v>
      </c>
      <c r="E30" s="158">
        <v>5000</v>
      </c>
      <c r="F30" s="158">
        <v>0</v>
      </c>
      <c r="I30" s="149">
        <v>-5000</v>
      </c>
      <c r="J30" s="149">
        <v>0</v>
      </c>
      <c r="K30" s="149">
        <v>0</v>
      </c>
      <c r="L30" s="149">
        <v>5000</v>
      </c>
      <c r="M30" s="149">
        <v>5000</v>
      </c>
      <c r="N30" s="149" t="s">
        <v>586</v>
      </c>
      <c r="O30" s="150"/>
    </row>
    <row r="31" spans="2:15" ht="15.75" thickBot="1" x14ac:dyDescent="0.3">
      <c r="B31" s="148"/>
      <c r="C31" s="149">
        <v>10109005</v>
      </c>
      <c r="D31" s="149" t="s">
        <v>229</v>
      </c>
      <c r="E31" s="158">
        <v>5000</v>
      </c>
      <c r="F31" s="158">
        <v>0</v>
      </c>
      <c r="I31" s="149">
        <v>-5000</v>
      </c>
      <c r="J31" s="149">
        <v>0</v>
      </c>
      <c r="K31" s="149">
        <v>0</v>
      </c>
      <c r="L31" s="149">
        <v>5000</v>
      </c>
      <c r="M31" s="149">
        <v>5000</v>
      </c>
      <c r="N31" s="149" t="s">
        <v>586</v>
      </c>
      <c r="O31" s="150"/>
    </row>
    <row r="32" spans="2:15" ht="15.75" thickBot="1" x14ac:dyDescent="0.3">
      <c r="B32" s="148"/>
      <c r="C32" s="149">
        <v>10109006</v>
      </c>
      <c r="D32" s="149" t="s">
        <v>230</v>
      </c>
      <c r="E32" s="158">
        <v>1000</v>
      </c>
      <c r="F32" s="158">
        <v>0</v>
      </c>
      <c r="I32" s="149">
        <v>-1000</v>
      </c>
      <c r="J32" s="149">
        <v>0</v>
      </c>
      <c r="K32" s="149">
        <v>0</v>
      </c>
      <c r="L32" s="149">
        <v>1000</v>
      </c>
      <c r="M32" s="149">
        <v>1000</v>
      </c>
      <c r="N32" s="149" t="s">
        <v>586</v>
      </c>
      <c r="O32" s="150"/>
    </row>
    <row r="33" spans="2:15" ht="15.75" thickBot="1" x14ac:dyDescent="0.3">
      <c r="B33" s="148"/>
      <c r="C33" s="149">
        <v>10110001</v>
      </c>
      <c r="D33" s="149" t="s">
        <v>169</v>
      </c>
      <c r="E33" s="158">
        <v>90000</v>
      </c>
      <c r="F33" s="158">
        <v>95584</v>
      </c>
      <c r="I33" s="149">
        <v>-90000</v>
      </c>
      <c r="J33" s="149">
        <v>95584</v>
      </c>
      <c r="K33" s="149">
        <v>0</v>
      </c>
      <c r="L33" s="149">
        <v>120000</v>
      </c>
      <c r="M33" s="149">
        <v>120000</v>
      </c>
      <c r="N33" s="149" t="s">
        <v>586</v>
      </c>
      <c r="O33" s="150"/>
    </row>
    <row r="34" spans="2:15" ht="15.75" thickBot="1" x14ac:dyDescent="0.3">
      <c r="B34" s="148"/>
      <c r="C34" s="149">
        <v>10110002</v>
      </c>
      <c r="D34" s="149" t="s">
        <v>170</v>
      </c>
      <c r="E34" s="158">
        <v>20000</v>
      </c>
      <c r="F34" s="158">
        <v>22700</v>
      </c>
      <c r="I34" s="149">
        <v>-20000</v>
      </c>
      <c r="J34" s="149">
        <v>22700</v>
      </c>
      <c r="K34" s="149">
        <v>0</v>
      </c>
      <c r="L34" s="149">
        <v>30000</v>
      </c>
      <c r="M34" s="149">
        <v>30000</v>
      </c>
      <c r="N34" s="149" t="s">
        <v>586</v>
      </c>
      <c r="O34" s="150"/>
    </row>
    <row r="35" spans="2:15" ht="15.75" thickBot="1" x14ac:dyDescent="0.3">
      <c r="B35" s="148"/>
      <c r="C35" s="149">
        <v>10110003</v>
      </c>
      <c r="D35" s="149" t="s">
        <v>171</v>
      </c>
      <c r="E35" s="158">
        <v>9000</v>
      </c>
      <c r="F35" s="158">
        <v>11350</v>
      </c>
      <c r="I35" s="149">
        <v>-9000</v>
      </c>
      <c r="J35" s="149">
        <v>11350</v>
      </c>
      <c r="K35" s="149">
        <v>0</v>
      </c>
      <c r="L35" s="149">
        <v>15000</v>
      </c>
      <c r="M35" s="149">
        <v>15000</v>
      </c>
      <c r="N35" s="149" t="s">
        <v>586</v>
      </c>
      <c r="O35" s="150"/>
    </row>
    <row r="36" spans="2:15" ht="15.75" thickBot="1" x14ac:dyDescent="0.3">
      <c r="B36" s="148"/>
      <c r="C36" s="149">
        <v>10110004</v>
      </c>
      <c r="D36" s="149" t="s">
        <v>172</v>
      </c>
      <c r="E36" s="158">
        <v>5000</v>
      </c>
      <c r="F36" s="158">
        <v>6900</v>
      </c>
      <c r="I36" s="149">
        <v>-5000</v>
      </c>
      <c r="J36" s="149">
        <v>6900</v>
      </c>
      <c r="K36" s="149">
        <v>0</v>
      </c>
      <c r="L36" s="149">
        <v>10000</v>
      </c>
      <c r="M36" s="149">
        <v>10000</v>
      </c>
      <c r="N36" s="149" t="s">
        <v>586</v>
      </c>
      <c r="O36" s="150"/>
    </row>
    <row r="37" spans="2:15" ht="15.75" thickBot="1" x14ac:dyDescent="0.3">
      <c r="B37" s="148"/>
      <c r="C37" s="149">
        <v>10110005</v>
      </c>
      <c r="D37" s="149" t="s">
        <v>173</v>
      </c>
      <c r="E37" s="158">
        <v>1000</v>
      </c>
      <c r="F37" s="158">
        <v>1500</v>
      </c>
      <c r="I37" s="149">
        <v>-1000</v>
      </c>
      <c r="J37" s="149">
        <v>1500</v>
      </c>
      <c r="K37" s="149">
        <v>0</v>
      </c>
      <c r="L37" s="149">
        <v>2000</v>
      </c>
      <c r="M37" s="149">
        <v>2000</v>
      </c>
      <c r="N37" s="149" t="s">
        <v>586</v>
      </c>
      <c r="O37" s="150"/>
    </row>
    <row r="38" spans="2:15" ht="15.75" thickBot="1" x14ac:dyDescent="0.3">
      <c r="B38" s="148"/>
      <c r="C38" s="149">
        <v>10110006</v>
      </c>
      <c r="D38" s="149" t="s">
        <v>174</v>
      </c>
      <c r="E38" s="158">
        <v>3000</v>
      </c>
      <c r="F38" s="158">
        <v>2101.1999999999998</v>
      </c>
      <c r="I38" s="149">
        <v>-3000</v>
      </c>
      <c r="J38" s="149">
        <v>2101.1999999999998</v>
      </c>
      <c r="K38" s="149">
        <v>0</v>
      </c>
      <c r="L38" s="149">
        <v>3000</v>
      </c>
      <c r="M38" s="149">
        <v>3000</v>
      </c>
      <c r="N38" s="149" t="s">
        <v>586</v>
      </c>
      <c r="O38" s="150"/>
    </row>
    <row r="39" spans="2:15" ht="15.75" thickBot="1" x14ac:dyDescent="0.3">
      <c r="B39" s="148"/>
      <c r="C39" s="149">
        <v>10111001</v>
      </c>
      <c r="D39" s="149" t="s">
        <v>175</v>
      </c>
      <c r="E39" s="158">
        <v>500000</v>
      </c>
      <c r="F39" s="158">
        <v>1396064.3</v>
      </c>
      <c r="I39" s="149">
        <v>-500000</v>
      </c>
      <c r="J39" s="149">
        <v>1396064.4</v>
      </c>
      <c r="K39" s="149">
        <v>0</v>
      </c>
      <c r="L39" s="149">
        <v>1600000</v>
      </c>
      <c r="M39" s="149">
        <v>1600000</v>
      </c>
      <c r="N39" s="149" t="s">
        <v>586</v>
      </c>
      <c r="O39" s="150"/>
    </row>
    <row r="40" spans="2:15" ht="15.75" thickBot="1" x14ac:dyDescent="0.3">
      <c r="B40" s="148"/>
      <c r="C40" s="149">
        <v>10111002</v>
      </c>
      <c r="D40" s="149" t="s">
        <v>176</v>
      </c>
      <c r="E40" s="158">
        <v>40000</v>
      </c>
      <c r="F40" s="158">
        <v>107731.49</v>
      </c>
      <c r="I40" s="149">
        <v>-40000</v>
      </c>
      <c r="J40" s="149">
        <v>107731.49</v>
      </c>
      <c r="K40" s="149">
        <v>0</v>
      </c>
      <c r="L40" s="149">
        <v>115000</v>
      </c>
      <c r="M40" s="149">
        <v>115000</v>
      </c>
      <c r="N40" s="149" t="s">
        <v>586</v>
      </c>
      <c r="O40" s="150"/>
    </row>
    <row r="41" spans="2:15" ht="15.75" thickBot="1" x14ac:dyDescent="0.3">
      <c r="B41" s="148"/>
      <c r="C41" s="149">
        <v>10111003</v>
      </c>
      <c r="D41" s="149" t="s">
        <v>177</v>
      </c>
      <c r="E41" s="158">
        <v>10000</v>
      </c>
      <c r="F41" s="158">
        <v>14528.1</v>
      </c>
      <c r="I41" s="149">
        <v>-10000</v>
      </c>
      <c r="J41" s="149">
        <v>14528.1</v>
      </c>
      <c r="K41" s="149">
        <v>0</v>
      </c>
      <c r="L41" s="149">
        <v>20000</v>
      </c>
      <c r="M41" s="149">
        <v>20000</v>
      </c>
      <c r="N41" s="149" t="s">
        <v>586</v>
      </c>
      <c r="O41" s="150"/>
    </row>
    <row r="42" spans="2:15" ht="15.75" thickBot="1" x14ac:dyDescent="0.3">
      <c r="B42" s="148"/>
      <c r="C42" s="149">
        <v>10111004</v>
      </c>
      <c r="D42" s="149" t="s">
        <v>178</v>
      </c>
      <c r="E42" s="158">
        <v>10000</v>
      </c>
      <c r="F42" s="158">
        <v>16065</v>
      </c>
      <c r="I42" s="149">
        <v>-10000</v>
      </c>
      <c r="J42" s="149">
        <v>16065</v>
      </c>
      <c r="K42" s="149">
        <v>0</v>
      </c>
      <c r="L42" s="149">
        <v>20000</v>
      </c>
      <c r="M42" s="149">
        <v>20000</v>
      </c>
      <c r="N42" s="149" t="s">
        <v>586</v>
      </c>
      <c r="O42" s="150"/>
    </row>
    <row r="43" spans="2:15" ht="15.75" thickBot="1" x14ac:dyDescent="0.3">
      <c r="B43" s="148"/>
      <c r="C43" s="149">
        <v>10111005</v>
      </c>
      <c r="D43" s="149" t="s">
        <v>179</v>
      </c>
      <c r="E43" s="158">
        <v>17000</v>
      </c>
      <c r="F43" s="158">
        <v>26844.75</v>
      </c>
      <c r="I43" s="149">
        <v>-17000</v>
      </c>
      <c r="J43" s="149">
        <v>26844.75</v>
      </c>
      <c r="K43" s="149">
        <v>0</v>
      </c>
      <c r="L43" s="149">
        <v>30000</v>
      </c>
      <c r="M43" s="149">
        <v>30000</v>
      </c>
      <c r="N43" s="149" t="s">
        <v>586</v>
      </c>
      <c r="O43" s="150"/>
    </row>
    <row r="44" spans="2:15" ht="15.75" thickBot="1" x14ac:dyDescent="0.3">
      <c r="B44" s="148"/>
      <c r="C44" s="149">
        <v>10120001</v>
      </c>
      <c r="D44" s="149" t="s">
        <v>307</v>
      </c>
      <c r="E44" s="158">
        <v>800000</v>
      </c>
      <c r="F44" s="158">
        <v>564219.56099999999</v>
      </c>
      <c r="I44" s="149">
        <v>-800000</v>
      </c>
      <c r="J44" s="149">
        <v>564219.56000000006</v>
      </c>
      <c r="K44" s="149">
        <v>0</v>
      </c>
      <c r="L44" s="149">
        <v>700000</v>
      </c>
      <c r="M44" s="149">
        <v>700000</v>
      </c>
      <c r="N44" s="149" t="s">
        <v>586</v>
      </c>
      <c r="O44" s="150"/>
    </row>
    <row r="45" spans="2:15" ht="15.75" thickBot="1" x14ac:dyDescent="0.3">
      <c r="B45" s="148"/>
      <c r="C45" s="149">
        <v>10120002</v>
      </c>
      <c r="D45" s="149" t="s">
        <v>761</v>
      </c>
      <c r="E45" s="158">
        <v>80000</v>
      </c>
      <c r="F45" s="158">
        <v>6564.0290000000005</v>
      </c>
      <c r="I45" s="149">
        <v>-80000</v>
      </c>
      <c r="J45" s="149">
        <v>6564.0290000000005</v>
      </c>
      <c r="K45" s="149">
        <v>0</v>
      </c>
      <c r="L45" s="149">
        <v>50000</v>
      </c>
      <c r="M45" s="149">
        <v>50000</v>
      </c>
      <c r="N45" s="149" t="s">
        <v>586</v>
      </c>
      <c r="O45" s="150"/>
    </row>
    <row r="46" spans="2:15" ht="15.75" thickBot="1" x14ac:dyDescent="0.3">
      <c r="B46" s="148"/>
      <c r="C46" s="149">
        <v>10201001</v>
      </c>
      <c r="D46" s="149" t="s">
        <v>180</v>
      </c>
      <c r="E46" s="158">
        <v>300</v>
      </c>
      <c r="F46" s="158">
        <v>4918.0619999999999</v>
      </c>
      <c r="I46" s="149">
        <v>-300</v>
      </c>
      <c r="J46" s="149">
        <v>4918.0619999999999</v>
      </c>
      <c r="K46" s="149">
        <v>0</v>
      </c>
      <c r="L46" s="149">
        <v>300</v>
      </c>
      <c r="M46" s="149">
        <v>300</v>
      </c>
      <c r="N46" s="149" t="s">
        <v>586</v>
      </c>
      <c r="O46" s="150"/>
    </row>
    <row r="47" spans="2:15" ht="15.75" thickBot="1" x14ac:dyDescent="0.3">
      <c r="B47" s="148"/>
      <c r="C47" s="149">
        <v>10203001</v>
      </c>
      <c r="D47" s="149" t="s">
        <v>181</v>
      </c>
      <c r="E47" s="158">
        <v>15000</v>
      </c>
      <c r="F47" s="158">
        <v>1046.25</v>
      </c>
      <c r="I47" s="149">
        <v>-15000</v>
      </c>
      <c r="J47" s="149">
        <v>1046.25</v>
      </c>
      <c r="K47" s="149">
        <v>0</v>
      </c>
      <c r="L47" s="149">
        <v>15000</v>
      </c>
      <c r="M47" s="149">
        <v>15000</v>
      </c>
      <c r="N47" s="149" t="s">
        <v>586</v>
      </c>
      <c r="O47" s="150"/>
    </row>
    <row r="48" spans="2:15" ht="15.75" thickBot="1" x14ac:dyDescent="0.3">
      <c r="B48" s="148"/>
      <c r="C48" s="149">
        <v>10203002</v>
      </c>
      <c r="D48" s="149" t="s">
        <v>182</v>
      </c>
      <c r="E48" s="158">
        <v>1000</v>
      </c>
      <c r="F48" s="158">
        <v>50</v>
      </c>
      <c r="I48" s="149">
        <v>-1000</v>
      </c>
      <c r="J48" s="149">
        <v>50</v>
      </c>
      <c r="K48" s="149">
        <v>0</v>
      </c>
      <c r="L48" s="149">
        <v>1000</v>
      </c>
      <c r="M48" s="149">
        <v>1000</v>
      </c>
      <c r="N48" s="149" t="s">
        <v>586</v>
      </c>
      <c r="O48" s="150"/>
    </row>
    <row r="49" spans="2:15" ht="15.75" thickBot="1" x14ac:dyDescent="0.3">
      <c r="B49" s="148"/>
      <c r="C49" s="149">
        <v>10203003</v>
      </c>
      <c r="D49" s="149" t="s">
        <v>183</v>
      </c>
      <c r="E49" s="158">
        <v>3000</v>
      </c>
      <c r="F49" s="158">
        <v>5712.9920000000002</v>
      </c>
      <c r="I49" s="149">
        <v>-3000</v>
      </c>
      <c r="J49" s="149">
        <v>5712.9920000000002</v>
      </c>
      <c r="K49" s="149">
        <v>0</v>
      </c>
      <c r="L49" s="149">
        <v>3000</v>
      </c>
      <c r="M49" s="149">
        <v>3000</v>
      </c>
      <c r="N49" s="149" t="s">
        <v>586</v>
      </c>
      <c r="O49" s="150"/>
    </row>
    <row r="50" spans="2:15" ht="15.75" thickBot="1" x14ac:dyDescent="0.3">
      <c r="B50" s="148"/>
      <c r="C50" s="149">
        <v>10203004</v>
      </c>
      <c r="D50" s="149" t="s">
        <v>762</v>
      </c>
      <c r="E50" s="158">
        <v>3000</v>
      </c>
      <c r="F50" s="158">
        <v>736.75</v>
      </c>
      <c r="I50" s="149">
        <v>-3000</v>
      </c>
      <c r="J50" s="149">
        <v>736.75</v>
      </c>
      <c r="K50" s="149">
        <v>0</v>
      </c>
      <c r="L50" s="149">
        <v>3000</v>
      </c>
      <c r="M50" s="149">
        <v>3000</v>
      </c>
      <c r="N50" s="149" t="s">
        <v>586</v>
      </c>
      <c r="O50" s="150"/>
    </row>
    <row r="51" spans="2:15" ht="15.75" thickBot="1" x14ac:dyDescent="0.3">
      <c r="B51" s="148"/>
      <c r="C51" s="149">
        <v>10203005</v>
      </c>
      <c r="D51" s="149" t="s">
        <v>184</v>
      </c>
      <c r="E51" s="158">
        <v>20000</v>
      </c>
      <c r="F51" s="158">
        <v>18900</v>
      </c>
      <c r="I51" s="149">
        <v>-20000</v>
      </c>
      <c r="J51" s="149">
        <v>18900</v>
      </c>
      <c r="K51" s="149">
        <v>0</v>
      </c>
      <c r="L51" s="149">
        <v>20000</v>
      </c>
      <c r="M51" s="149">
        <v>20000</v>
      </c>
      <c r="N51" s="149" t="s">
        <v>586</v>
      </c>
      <c r="O51" s="150"/>
    </row>
    <row r="52" spans="2:15" ht="15.75" thickBot="1" x14ac:dyDescent="0.3">
      <c r="B52" s="148"/>
      <c r="C52" s="149">
        <v>10204002</v>
      </c>
      <c r="D52" s="149" t="s">
        <v>185</v>
      </c>
      <c r="E52" s="158">
        <v>60000</v>
      </c>
      <c r="F52" s="158">
        <v>18350</v>
      </c>
      <c r="I52" s="149">
        <v>-60000</v>
      </c>
      <c r="J52" s="149">
        <v>18350</v>
      </c>
      <c r="K52" s="149">
        <v>0</v>
      </c>
      <c r="L52" s="149">
        <v>60000</v>
      </c>
      <c r="M52" s="149">
        <v>60000</v>
      </c>
      <c r="N52" s="149" t="s">
        <v>586</v>
      </c>
      <c r="O52" s="150"/>
    </row>
    <row r="53" spans="2:15" ht="15.75" thickBot="1" x14ac:dyDescent="0.3">
      <c r="B53" s="148"/>
      <c r="C53" s="149">
        <v>10204003</v>
      </c>
      <c r="D53" s="149" t="s">
        <v>186</v>
      </c>
      <c r="E53" s="158">
        <v>40000</v>
      </c>
      <c r="F53" s="158">
        <v>27625</v>
      </c>
      <c r="I53" s="149">
        <v>-40000</v>
      </c>
      <c r="J53" s="149">
        <v>27625</v>
      </c>
      <c r="K53" s="149">
        <v>0</v>
      </c>
      <c r="L53" s="149">
        <v>40000</v>
      </c>
      <c r="M53" s="149">
        <v>40000</v>
      </c>
      <c r="N53" s="149" t="s">
        <v>586</v>
      </c>
      <c r="O53" s="150"/>
    </row>
    <row r="54" spans="2:15" ht="15.75" thickBot="1" x14ac:dyDescent="0.3">
      <c r="B54" s="148"/>
      <c r="C54" s="149">
        <v>10204004</v>
      </c>
      <c r="D54" s="149" t="s">
        <v>187</v>
      </c>
      <c r="E54" s="158">
        <v>120000</v>
      </c>
      <c r="F54" s="158">
        <v>8575</v>
      </c>
      <c r="I54" s="149">
        <v>-120000</v>
      </c>
      <c r="J54" s="149">
        <v>8575</v>
      </c>
      <c r="K54" s="149">
        <v>0</v>
      </c>
      <c r="L54" s="149">
        <v>120000</v>
      </c>
      <c r="M54" s="149">
        <v>120000</v>
      </c>
      <c r="N54" s="149" t="s">
        <v>586</v>
      </c>
      <c r="O54" s="150"/>
    </row>
    <row r="55" spans="2:15" ht="15.75" thickBot="1" x14ac:dyDescent="0.3">
      <c r="B55" s="148"/>
      <c r="C55" s="149">
        <v>10204007</v>
      </c>
      <c r="D55" s="149" t="s">
        <v>188</v>
      </c>
      <c r="E55" s="158">
        <v>2000</v>
      </c>
      <c r="F55" s="158">
        <v>0</v>
      </c>
      <c r="I55" s="149">
        <v>-2000</v>
      </c>
      <c r="J55" s="149">
        <v>0</v>
      </c>
      <c r="K55" s="149">
        <v>0</v>
      </c>
      <c r="L55" s="149">
        <v>2000</v>
      </c>
      <c r="M55" s="149">
        <v>2000</v>
      </c>
      <c r="N55" s="149" t="s">
        <v>586</v>
      </c>
      <c r="O55" s="150"/>
    </row>
    <row r="56" spans="2:15" ht="15.75" thickBot="1" x14ac:dyDescent="0.3">
      <c r="B56" s="148"/>
      <c r="C56" s="149">
        <v>10204009</v>
      </c>
      <c r="D56" s="149" t="s">
        <v>189</v>
      </c>
      <c r="E56" s="158">
        <v>7000</v>
      </c>
      <c r="F56" s="158">
        <v>0</v>
      </c>
      <c r="I56" s="149">
        <v>-7000</v>
      </c>
      <c r="J56" s="149">
        <v>0</v>
      </c>
      <c r="K56" s="149">
        <v>0</v>
      </c>
      <c r="L56" s="149">
        <v>7000</v>
      </c>
      <c r="M56" s="149">
        <v>7000</v>
      </c>
      <c r="N56" s="149" t="s">
        <v>586</v>
      </c>
      <c r="O56" s="150"/>
    </row>
    <row r="57" spans="2:15" ht="15.75" thickBot="1" x14ac:dyDescent="0.3">
      <c r="B57" s="148"/>
      <c r="C57" s="149">
        <v>10204019</v>
      </c>
      <c r="D57" s="149" t="s">
        <v>316</v>
      </c>
      <c r="E57" s="158">
        <v>42000</v>
      </c>
      <c r="F57" s="158">
        <v>0</v>
      </c>
      <c r="I57" s="149">
        <v>-42000</v>
      </c>
      <c r="J57" s="149">
        <v>0</v>
      </c>
      <c r="K57" s="149">
        <v>0</v>
      </c>
      <c r="L57" s="149">
        <v>42000</v>
      </c>
      <c r="M57" s="149">
        <v>42000</v>
      </c>
      <c r="N57" s="149" t="s">
        <v>586</v>
      </c>
      <c r="O57" s="150"/>
    </row>
    <row r="58" spans="2:15" ht="15.75" thickBot="1" x14ac:dyDescent="0.3">
      <c r="B58" s="148"/>
      <c r="C58" s="149">
        <v>10204020</v>
      </c>
      <c r="D58" s="149" t="s">
        <v>317</v>
      </c>
      <c r="E58" s="158">
        <v>117000</v>
      </c>
      <c r="F58" s="158">
        <v>10711.625</v>
      </c>
      <c r="I58" s="149">
        <v>-117000</v>
      </c>
      <c r="J58" s="149">
        <v>10711.625</v>
      </c>
      <c r="K58" s="149">
        <v>0</v>
      </c>
      <c r="L58" s="149">
        <v>117000</v>
      </c>
      <c r="M58" s="149">
        <v>117000</v>
      </c>
      <c r="N58" s="149" t="s">
        <v>586</v>
      </c>
      <c r="O58" s="150"/>
    </row>
    <row r="59" spans="2:15" ht="15.75" thickBot="1" x14ac:dyDescent="0.3">
      <c r="B59" s="148"/>
      <c r="C59" s="149">
        <v>10204021</v>
      </c>
      <c r="D59" s="149" t="s">
        <v>318</v>
      </c>
      <c r="E59" s="158">
        <v>80000</v>
      </c>
      <c r="F59" s="158">
        <v>7191</v>
      </c>
      <c r="I59" s="149">
        <v>-80000</v>
      </c>
      <c r="J59" s="149">
        <v>7191</v>
      </c>
      <c r="K59" s="149">
        <v>0</v>
      </c>
      <c r="L59" s="149">
        <v>80000</v>
      </c>
      <c r="M59" s="149">
        <v>80000</v>
      </c>
      <c r="N59" s="149" t="s">
        <v>586</v>
      </c>
      <c r="O59" s="150"/>
    </row>
    <row r="60" spans="2:15" ht="15.75" thickBot="1" x14ac:dyDescent="0.3">
      <c r="B60" s="148"/>
      <c r="C60" s="149">
        <v>10204022</v>
      </c>
      <c r="D60" s="149" t="s">
        <v>319</v>
      </c>
      <c r="E60" s="158">
        <v>50000</v>
      </c>
      <c r="F60" s="158">
        <v>30000</v>
      </c>
      <c r="I60" s="149">
        <v>-50000</v>
      </c>
      <c r="J60" s="149">
        <v>30000</v>
      </c>
      <c r="K60" s="149">
        <v>0</v>
      </c>
      <c r="L60" s="149">
        <v>50000</v>
      </c>
      <c r="M60" s="149">
        <v>50000</v>
      </c>
      <c r="N60" s="149" t="s">
        <v>586</v>
      </c>
      <c r="O60" s="150"/>
    </row>
    <row r="61" spans="2:15" ht="15.75" thickBot="1" x14ac:dyDescent="0.3">
      <c r="B61" s="148"/>
      <c r="C61" s="149">
        <v>10205001</v>
      </c>
      <c r="D61" s="149" t="s">
        <v>763</v>
      </c>
      <c r="E61" s="158">
        <v>100000</v>
      </c>
      <c r="F61" s="158">
        <v>133244.99299999999</v>
      </c>
      <c r="I61" s="149">
        <v>-100000</v>
      </c>
      <c r="J61" s="149">
        <v>133245</v>
      </c>
      <c r="K61" s="149">
        <v>0</v>
      </c>
      <c r="L61" s="149">
        <v>100000</v>
      </c>
      <c r="M61" s="149">
        <v>100000</v>
      </c>
      <c r="N61" s="149" t="s">
        <v>586</v>
      </c>
      <c r="O61" s="150"/>
    </row>
    <row r="62" spans="2:15" ht="15.75" thickBot="1" x14ac:dyDescent="0.3">
      <c r="B62" s="148"/>
      <c r="C62" s="149">
        <v>10209001</v>
      </c>
      <c r="D62" s="149" t="s">
        <v>435</v>
      </c>
      <c r="E62" s="149">
        <v>0</v>
      </c>
      <c r="F62" s="149">
        <v>0</v>
      </c>
      <c r="I62" s="149">
        <v>0</v>
      </c>
      <c r="J62" s="149">
        <v>0</v>
      </c>
      <c r="K62" s="149">
        <v>0</v>
      </c>
      <c r="L62" s="149">
        <v>0</v>
      </c>
      <c r="M62" s="149">
        <v>0</v>
      </c>
      <c r="N62" s="149" t="s">
        <v>602</v>
      </c>
      <c r="O62" s="150"/>
    </row>
    <row r="63" spans="2:15" ht="15.75" thickBot="1" x14ac:dyDescent="0.3">
      <c r="B63" s="148"/>
      <c r="C63" s="149">
        <v>10209002</v>
      </c>
      <c r="D63" s="149" t="s">
        <v>764</v>
      </c>
      <c r="E63" s="149">
        <v>0</v>
      </c>
      <c r="F63" s="149">
        <v>0</v>
      </c>
      <c r="I63" s="149">
        <v>0</v>
      </c>
      <c r="J63" s="149">
        <v>0</v>
      </c>
      <c r="K63" s="149">
        <v>0</v>
      </c>
      <c r="L63" s="149">
        <v>0</v>
      </c>
      <c r="M63" s="149">
        <v>0</v>
      </c>
      <c r="N63" s="149" t="s">
        <v>602</v>
      </c>
      <c r="O63" s="150"/>
    </row>
    <row r="64" spans="2:15" ht="15.75" thickBot="1" x14ac:dyDescent="0.3">
      <c r="B64" s="148"/>
      <c r="C64" s="149">
        <v>11001002</v>
      </c>
      <c r="D64" s="149" t="s">
        <v>190</v>
      </c>
      <c r="E64" s="158">
        <v>5000</v>
      </c>
      <c r="F64" s="158">
        <v>2560</v>
      </c>
      <c r="I64" s="149">
        <v>-5000</v>
      </c>
      <c r="J64" s="149">
        <v>2560</v>
      </c>
      <c r="K64" s="149">
        <v>0</v>
      </c>
      <c r="L64" s="149">
        <v>5000</v>
      </c>
      <c r="M64" s="149">
        <v>5000</v>
      </c>
      <c r="N64" s="149" t="s">
        <v>586</v>
      </c>
      <c r="O64" s="150"/>
    </row>
    <row r="65" spans="2:15" ht="15.75" thickBot="1" x14ac:dyDescent="0.3">
      <c r="B65" s="148"/>
      <c r="C65" s="149">
        <v>11001004</v>
      </c>
      <c r="D65" s="149" t="s">
        <v>191</v>
      </c>
      <c r="E65" s="158">
        <v>5000</v>
      </c>
      <c r="F65" s="158">
        <v>3905</v>
      </c>
      <c r="I65" s="149">
        <v>-5000</v>
      </c>
      <c r="J65" s="149">
        <v>3905</v>
      </c>
      <c r="K65" s="149">
        <v>0</v>
      </c>
      <c r="L65" s="149">
        <v>5000</v>
      </c>
      <c r="M65" s="149">
        <v>5000</v>
      </c>
      <c r="N65" s="149" t="s">
        <v>586</v>
      </c>
      <c r="O65" s="150"/>
    </row>
    <row r="66" spans="2:15" ht="15.75" thickBot="1" x14ac:dyDescent="0.3">
      <c r="B66" s="148"/>
      <c r="C66" s="149">
        <v>11001010</v>
      </c>
      <c r="D66" s="149" t="s">
        <v>426</v>
      </c>
      <c r="E66" s="158">
        <v>160000</v>
      </c>
      <c r="F66" s="158">
        <v>151582.386</v>
      </c>
      <c r="I66" s="149">
        <v>-160000</v>
      </c>
      <c r="J66" s="149">
        <v>151582.39000000001</v>
      </c>
      <c r="K66" s="149">
        <v>0</v>
      </c>
      <c r="L66" s="149">
        <v>160000</v>
      </c>
      <c r="M66" s="149">
        <v>160000</v>
      </c>
      <c r="N66" s="149" t="s">
        <v>586</v>
      </c>
      <c r="O66" s="150"/>
    </row>
    <row r="67" spans="2:15" ht="15.75" thickBot="1" x14ac:dyDescent="0.3">
      <c r="B67" s="148"/>
      <c r="C67" s="149">
        <v>11001011</v>
      </c>
      <c r="D67" s="149" t="s">
        <v>192</v>
      </c>
      <c r="E67" s="158">
        <v>4000</v>
      </c>
      <c r="F67" s="158">
        <v>2811</v>
      </c>
      <c r="I67" s="149">
        <v>-4000</v>
      </c>
      <c r="J67" s="149">
        <v>2811</v>
      </c>
      <c r="K67" s="149">
        <v>0</v>
      </c>
      <c r="L67" s="149">
        <v>4000</v>
      </c>
      <c r="M67" s="149">
        <v>4000</v>
      </c>
      <c r="N67" s="149" t="s">
        <v>586</v>
      </c>
      <c r="O67" s="150"/>
    </row>
    <row r="68" spans="2:15" ht="15.75" thickBot="1" x14ac:dyDescent="0.3">
      <c r="B68" s="148"/>
      <c r="C68" s="149">
        <v>11001013</v>
      </c>
      <c r="D68" s="149" t="s">
        <v>193</v>
      </c>
      <c r="E68" s="158">
        <v>10000</v>
      </c>
      <c r="F68" s="158">
        <v>63400.743999999999</v>
      </c>
      <c r="I68" s="149">
        <v>-10000</v>
      </c>
      <c r="J68" s="149">
        <v>63400.741999999998</v>
      </c>
      <c r="K68" s="149">
        <v>0</v>
      </c>
      <c r="L68" s="149">
        <v>10000</v>
      </c>
      <c r="M68" s="149">
        <v>10000</v>
      </c>
      <c r="N68" s="149" t="s">
        <v>586</v>
      </c>
      <c r="O68" s="150"/>
    </row>
    <row r="69" spans="2:15" ht="15.75" thickBot="1" x14ac:dyDescent="0.3">
      <c r="B69" s="148"/>
      <c r="C69" s="149">
        <v>11001015</v>
      </c>
      <c r="D69" s="149" t="s">
        <v>194</v>
      </c>
      <c r="E69" s="158">
        <v>2000</v>
      </c>
      <c r="F69" s="158">
        <v>229.136</v>
      </c>
      <c r="I69" s="149">
        <v>-2000</v>
      </c>
      <c r="J69" s="149">
        <v>229.136</v>
      </c>
      <c r="K69" s="149">
        <v>0</v>
      </c>
      <c r="L69" s="149">
        <v>2000</v>
      </c>
      <c r="M69" s="149">
        <v>2000</v>
      </c>
      <c r="N69" s="149" t="s">
        <v>586</v>
      </c>
      <c r="O69" s="150"/>
    </row>
    <row r="70" spans="2:15" ht="15.75" thickBot="1" x14ac:dyDescent="0.3">
      <c r="B70" s="148"/>
      <c r="C70" s="149">
        <v>11001017</v>
      </c>
      <c r="D70" s="149" t="s">
        <v>195</v>
      </c>
      <c r="E70" s="158">
        <v>2000</v>
      </c>
      <c r="F70" s="158">
        <v>0</v>
      </c>
      <c r="I70" s="149">
        <v>-2000</v>
      </c>
      <c r="J70" s="149">
        <v>0</v>
      </c>
      <c r="K70" s="149">
        <v>0</v>
      </c>
      <c r="L70" s="149">
        <v>2000</v>
      </c>
      <c r="M70" s="149">
        <v>2000</v>
      </c>
      <c r="N70" s="149" t="s">
        <v>586</v>
      </c>
      <c r="O70" s="150"/>
    </row>
    <row r="71" spans="2:15" ht="15.75" thickBot="1" x14ac:dyDescent="0.3">
      <c r="B71" s="148"/>
      <c r="C71" s="149">
        <v>11001022</v>
      </c>
      <c r="D71" s="149" t="s">
        <v>196</v>
      </c>
      <c r="E71" s="158">
        <v>150000</v>
      </c>
      <c r="F71" s="158">
        <v>48598.891000000003</v>
      </c>
      <c r="I71" s="149">
        <v>-150000</v>
      </c>
      <c r="J71" s="149">
        <v>48598.89</v>
      </c>
      <c r="K71" s="149">
        <v>0</v>
      </c>
      <c r="L71" s="149">
        <v>150000</v>
      </c>
      <c r="M71" s="149">
        <v>150000</v>
      </c>
      <c r="N71" s="149" t="s">
        <v>586</v>
      </c>
      <c r="O71" s="150"/>
    </row>
    <row r="72" spans="2:15" ht="15.75" thickBot="1" x14ac:dyDescent="0.3">
      <c r="B72" s="148"/>
      <c r="C72" s="149">
        <v>11001023</v>
      </c>
      <c r="D72" s="149" t="s">
        <v>197</v>
      </c>
      <c r="E72" s="158">
        <v>10000</v>
      </c>
      <c r="F72" s="158">
        <v>5223.2</v>
      </c>
      <c r="I72" s="149">
        <v>-10000</v>
      </c>
      <c r="J72" s="149">
        <v>5223.2</v>
      </c>
      <c r="K72" s="149">
        <v>0</v>
      </c>
      <c r="L72" s="149">
        <v>10000</v>
      </c>
      <c r="M72" s="149">
        <v>10000</v>
      </c>
      <c r="N72" s="149" t="s">
        <v>586</v>
      </c>
      <c r="O72" s="150"/>
    </row>
    <row r="73" spans="2:15" ht="15.75" thickBot="1" x14ac:dyDescent="0.3">
      <c r="B73" s="148"/>
      <c r="C73" s="149">
        <v>11001025</v>
      </c>
      <c r="D73" s="149" t="s">
        <v>198</v>
      </c>
      <c r="E73" s="158">
        <v>10000</v>
      </c>
      <c r="F73" s="158">
        <v>330</v>
      </c>
      <c r="I73" s="149">
        <v>-10000</v>
      </c>
      <c r="J73" s="149">
        <v>330</v>
      </c>
      <c r="K73" s="149">
        <v>0</v>
      </c>
      <c r="L73" s="149">
        <v>10000</v>
      </c>
      <c r="M73" s="149">
        <v>10000</v>
      </c>
      <c r="N73" s="149" t="s">
        <v>586</v>
      </c>
      <c r="O73" s="150"/>
    </row>
    <row r="74" spans="2:15" ht="15.75" thickBot="1" x14ac:dyDescent="0.3">
      <c r="B74" s="148"/>
      <c r="C74" s="149">
        <v>11001030</v>
      </c>
      <c r="D74" s="149" t="s">
        <v>199</v>
      </c>
      <c r="E74" s="158">
        <v>25000</v>
      </c>
      <c r="F74" s="158">
        <v>2146.4969999999998</v>
      </c>
      <c r="I74" s="149">
        <v>-25000</v>
      </c>
      <c r="J74" s="149">
        <v>2146.4969999999998</v>
      </c>
      <c r="K74" s="149">
        <v>0</v>
      </c>
      <c r="L74" s="149">
        <v>25000</v>
      </c>
      <c r="M74" s="149">
        <v>25000</v>
      </c>
      <c r="N74" s="149" t="s">
        <v>586</v>
      </c>
      <c r="O74" s="150"/>
    </row>
    <row r="75" spans="2:15" ht="15.75" thickBot="1" x14ac:dyDescent="0.3">
      <c r="B75" s="148"/>
      <c r="C75" s="149">
        <v>11001033</v>
      </c>
      <c r="D75" s="149" t="s">
        <v>200</v>
      </c>
      <c r="E75" s="158">
        <v>25000</v>
      </c>
      <c r="F75" s="158">
        <v>38027.428999999996</v>
      </c>
      <c r="I75" s="149">
        <v>-25000</v>
      </c>
      <c r="J75" s="149">
        <v>38027.43</v>
      </c>
      <c r="K75" s="149">
        <v>0</v>
      </c>
      <c r="L75" s="149">
        <v>25000</v>
      </c>
      <c r="M75" s="149">
        <v>25000</v>
      </c>
      <c r="N75" s="149" t="s">
        <v>586</v>
      </c>
      <c r="O75" s="150"/>
    </row>
    <row r="76" spans="2:15" ht="15.75" thickBot="1" x14ac:dyDescent="0.3">
      <c r="B76" s="148"/>
      <c r="C76" s="149">
        <v>11001034</v>
      </c>
      <c r="D76" s="149" t="s">
        <v>201</v>
      </c>
      <c r="E76" s="158">
        <v>650</v>
      </c>
      <c r="F76" s="158">
        <v>120</v>
      </c>
      <c r="I76" s="149">
        <v>-650</v>
      </c>
      <c r="J76" s="149">
        <v>120</v>
      </c>
      <c r="K76" s="149">
        <v>0</v>
      </c>
      <c r="L76" s="149">
        <v>650</v>
      </c>
      <c r="M76" s="149">
        <v>650</v>
      </c>
      <c r="N76" s="149" t="s">
        <v>586</v>
      </c>
      <c r="O76" s="150"/>
    </row>
    <row r="77" spans="2:15" ht="15.75" thickBot="1" x14ac:dyDescent="0.3">
      <c r="B77" s="148"/>
      <c r="C77" s="149">
        <v>11001035</v>
      </c>
      <c r="D77" s="149" t="s">
        <v>202</v>
      </c>
      <c r="E77" s="158">
        <v>20000</v>
      </c>
      <c r="F77" s="158">
        <v>7121.7120000000004</v>
      </c>
      <c r="I77" s="149">
        <v>-20000</v>
      </c>
      <c r="J77" s="149">
        <v>7121.7120000000004</v>
      </c>
      <c r="K77" s="149">
        <v>0</v>
      </c>
      <c r="L77" s="149">
        <v>20000</v>
      </c>
      <c r="M77" s="149">
        <v>20000</v>
      </c>
      <c r="N77" s="149" t="s">
        <v>586</v>
      </c>
      <c r="O77" s="150"/>
    </row>
    <row r="78" spans="2:15" ht="15.75" thickBot="1" x14ac:dyDescent="0.3">
      <c r="B78" s="148"/>
      <c r="C78" s="149">
        <v>11001036</v>
      </c>
      <c r="D78" s="149" t="s">
        <v>203</v>
      </c>
      <c r="E78" s="158">
        <v>2500</v>
      </c>
      <c r="F78" s="158">
        <v>1822.45</v>
      </c>
      <c r="I78" s="149">
        <v>-2500</v>
      </c>
      <c r="J78" s="149">
        <v>1822.45</v>
      </c>
      <c r="K78" s="149">
        <v>0</v>
      </c>
      <c r="L78" s="149">
        <v>2500</v>
      </c>
      <c r="M78" s="149">
        <v>2500</v>
      </c>
      <c r="N78" s="149" t="s">
        <v>586</v>
      </c>
      <c r="O78" s="150"/>
    </row>
    <row r="79" spans="2:15" ht="15.75" thickBot="1" x14ac:dyDescent="0.3">
      <c r="B79" s="148"/>
      <c r="C79" s="149">
        <v>11001038</v>
      </c>
      <c r="D79" s="149" t="s">
        <v>473</v>
      </c>
      <c r="E79" s="158">
        <v>10000</v>
      </c>
      <c r="F79" s="158">
        <v>0</v>
      </c>
      <c r="I79" s="149">
        <v>-10000</v>
      </c>
      <c r="J79" s="149">
        <v>0</v>
      </c>
      <c r="K79" s="149">
        <v>0</v>
      </c>
      <c r="L79" s="149">
        <v>0</v>
      </c>
      <c r="M79" s="149">
        <v>0</v>
      </c>
      <c r="N79" s="149" t="s">
        <v>602</v>
      </c>
      <c r="O79" s="150"/>
    </row>
    <row r="80" spans="2:15" ht="15.75" thickBot="1" x14ac:dyDescent="0.3">
      <c r="B80" s="148"/>
      <c r="C80" s="149">
        <v>11001039</v>
      </c>
      <c r="D80" s="149" t="s">
        <v>486</v>
      </c>
      <c r="E80" s="158">
        <v>5000</v>
      </c>
      <c r="F80" s="158">
        <v>0</v>
      </c>
      <c r="I80" s="149">
        <v>-5000</v>
      </c>
      <c r="J80" s="149">
        <v>0</v>
      </c>
      <c r="K80" s="149">
        <v>0</v>
      </c>
      <c r="L80" s="149">
        <v>5000</v>
      </c>
      <c r="M80" s="149">
        <v>5000</v>
      </c>
      <c r="N80" s="149" t="s">
        <v>586</v>
      </c>
      <c r="O80" s="150"/>
    </row>
    <row r="81" spans="2:15" ht="15.75" thickBot="1" x14ac:dyDescent="0.3">
      <c r="B81" s="148"/>
      <c r="C81" s="149">
        <v>11001040</v>
      </c>
      <c r="D81" s="149" t="s">
        <v>481</v>
      </c>
      <c r="E81" s="158">
        <v>5000</v>
      </c>
      <c r="F81" s="158">
        <v>0</v>
      </c>
      <c r="I81" s="149">
        <v>-5000</v>
      </c>
      <c r="J81" s="149">
        <v>0</v>
      </c>
      <c r="K81" s="149">
        <v>0</v>
      </c>
      <c r="L81" s="149">
        <v>5000</v>
      </c>
      <c r="M81" s="149">
        <v>5000</v>
      </c>
      <c r="N81" s="149" t="s">
        <v>586</v>
      </c>
      <c r="O81" s="150"/>
    </row>
    <row r="82" spans="2:15" ht="15.75" thickBot="1" x14ac:dyDescent="0.3">
      <c r="B82" s="148"/>
      <c r="C82" s="149">
        <v>11001041</v>
      </c>
      <c r="D82" s="149" t="s">
        <v>765</v>
      </c>
      <c r="E82" s="158">
        <v>90000</v>
      </c>
      <c r="F82" s="158">
        <v>82666</v>
      </c>
      <c r="I82" s="149">
        <v>-90000</v>
      </c>
      <c r="J82" s="149">
        <v>82666</v>
      </c>
      <c r="K82" s="149">
        <v>0</v>
      </c>
      <c r="L82" s="149">
        <v>90000</v>
      </c>
      <c r="M82" s="149">
        <v>90000</v>
      </c>
      <c r="N82" s="149" t="s">
        <v>586</v>
      </c>
      <c r="O82" s="150"/>
    </row>
    <row r="83" spans="2:15" ht="15.75" thickBot="1" x14ac:dyDescent="0.3">
      <c r="B83" s="148"/>
      <c r="C83" s="149">
        <v>11002001</v>
      </c>
      <c r="D83" s="149" t="s">
        <v>204</v>
      </c>
      <c r="E83" s="158">
        <v>150000</v>
      </c>
      <c r="F83" s="158">
        <v>113910</v>
      </c>
      <c r="I83" s="149">
        <v>-150000</v>
      </c>
      <c r="J83" s="149">
        <v>113910</v>
      </c>
      <c r="K83" s="149">
        <v>0</v>
      </c>
      <c r="L83" s="149">
        <v>150000</v>
      </c>
      <c r="M83" s="149">
        <v>150000</v>
      </c>
      <c r="N83" s="149" t="s">
        <v>586</v>
      </c>
      <c r="O83" s="150"/>
    </row>
    <row r="84" spans="2:15" ht="15.75" thickBot="1" x14ac:dyDescent="0.3">
      <c r="B84" s="148"/>
      <c r="C84" s="149">
        <v>11003004</v>
      </c>
      <c r="D84" s="149" t="s">
        <v>221</v>
      </c>
      <c r="E84" s="158">
        <v>50000</v>
      </c>
      <c r="F84" s="158">
        <v>28031.5</v>
      </c>
      <c r="I84" s="149">
        <v>-50000</v>
      </c>
      <c r="J84" s="149">
        <v>28031.5</v>
      </c>
      <c r="K84" s="149">
        <v>0</v>
      </c>
      <c r="L84" s="149">
        <v>50000</v>
      </c>
      <c r="M84" s="149">
        <v>50000</v>
      </c>
      <c r="N84" s="149" t="s">
        <v>586</v>
      </c>
      <c r="O84" s="150"/>
    </row>
    <row r="85" spans="2:15" ht="15.75" thickBot="1" x14ac:dyDescent="0.3">
      <c r="B85" s="148"/>
      <c r="C85" s="149">
        <v>11007001</v>
      </c>
      <c r="D85" s="149" t="s">
        <v>205</v>
      </c>
      <c r="E85" s="158">
        <v>100000</v>
      </c>
      <c r="F85" s="158">
        <v>100000</v>
      </c>
      <c r="I85" s="149">
        <v>-100000</v>
      </c>
      <c r="J85" s="149">
        <v>100000</v>
      </c>
      <c r="K85" s="149">
        <v>0</v>
      </c>
      <c r="L85" s="149">
        <v>100000</v>
      </c>
      <c r="M85" s="149">
        <v>100000</v>
      </c>
      <c r="N85" s="149" t="s">
        <v>586</v>
      </c>
      <c r="O85" s="150"/>
    </row>
    <row r="86" spans="2:15" ht="15.75" thickBot="1" x14ac:dyDescent="0.3">
      <c r="B86" s="148"/>
      <c r="C86" s="149">
        <v>11201001</v>
      </c>
      <c r="D86" s="149" t="s">
        <v>312</v>
      </c>
      <c r="E86" s="158">
        <v>7600000</v>
      </c>
      <c r="F86" s="158">
        <v>7356033</v>
      </c>
      <c r="I86" s="149">
        <v>-7600000</v>
      </c>
      <c r="J86" s="149">
        <v>7356033</v>
      </c>
      <c r="K86" s="149">
        <v>0</v>
      </c>
      <c r="L86" s="149">
        <v>7600000</v>
      </c>
      <c r="M86" s="149">
        <v>7600000</v>
      </c>
      <c r="N86" s="149" t="s">
        <v>586</v>
      </c>
      <c r="O86" s="150"/>
    </row>
    <row r="87" spans="2:15" ht="15.75" thickBot="1" x14ac:dyDescent="0.3">
      <c r="B87" s="148"/>
      <c r="C87" s="149">
        <v>12201001</v>
      </c>
      <c r="D87" s="149" t="s">
        <v>206</v>
      </c>
      <c r="E87" s="158">
        <v>50000</v>
      </c>
      <c r="F87" s="158">
        <v>3000</v>
      </c>
      <c r="I87" s="149">
        <v>-50000</v>
      </c>
      <c r="J87" s="149">
        <v>3000</v>
      </c>
      <c r="K87" s="149">
        <v>0</v>
      </c>
      <c r="L87" s="149">
        <v>50000</v>
      </c>
      <c r="M87" s="149">
        <v>50000</v>
      </c>
      <c r="N87" s="149" t="s">
        <v>586</v>
      </c>
      <c r="O87" s="150"/>
    </row>
    <row r="88" spans="2:15" ht="15.75" thickBot="1" x14ac:dyDescent="0.3">
      <c r="B88" s="148"/>
      <c r="C88" s="149">
        <v>12201003</v>
      </c>
      <c r="D88" s="149" t="s">
        <v>313</v>
      </c>
      <c r="E88" s="158">
        <v>25000</v>
      </c>
      <c r="F88" s="158">
        <v>24000</v>
      </c>
      <c r="I88" s="149">
        <v>-25000</v>
      </c>
      <c r="J88" s="149">
        <v>24000</v>
      </c>
      <c r="K88" s="149">
        <v>0</v>
      </c>
      <c r="L88" s="149">
        <v>24000</v>
      </c>
      <c r="M88" s="149">
        <v>24000</v>
      </c>
      <c r="N88" s="149" t="s">
        <v>586</v>
      </c>
      <c r="O88" s="150"/>
    </row>
    <row r="89" spans="2:15" ht="15.75" thickBot="1" x14ac:dyDescent="0.3">
      <c r="B89" s="148"/>
      <c r="C89" s="149">
        <v>17202001</v>
      </c>
      <c r="D89" s="149" t="s">
        <v>207</v>
      </c>
      <c r="E89" s="158">
        <v>7000000</v>
      </c>
      <c r="F89" s="158">
        <v>0</v>
      </c>
      <c r="I89" s="149">
        <v>-7000000</v>
      </c>
      <c r="J89" s="149">
        <v>0</v>
      </c>
      <c r="K89" s="149">
        <v>0</v>
      </c>
      <c r="L89" s="149">
        <v>700000</v>
      </c>
      <c r="M89" s="149">
        <v>700000</v>
      </c>
      <c r="N89" s="149" t="s">
        <v>586</v>
      </c>
      <c r="O89" s="150"/>
    </row>
    <row r="90" spans="2:15" ht="15.75" thickBot="1" x14ac:dyDescent="0.3">
      <c r="B90" s="148"/>
      <c r="C90" s="149">
        <v>17202002</v>
      </c>
      <c r="D90" s="149" t="s">
        <v>766</v>
      </c>
      <c r="E90" s="158">
        <v>2000000</v>
      </c>
      <c r="F90" s="158">
        <v>1999946</v>
      </c>
      <c r="I90" s="149">
        <v>-2000000</v>
      </c>
      <c r="J90" s="149">
        <v>1999946</v>
      </c>
      <c r="K90" s="149">
        <v>0</v>
      </c>
      <c r="L90" s="149">
        <v>0</v>
      </c>
      <c r="M90" s="149">
        <v>0</v>
      </c>
      <c r="N90" s="149" t="s">
        <v>602</v>
      </c>
      <c r="O90" s="150"/>
    </row>
    <row r="91" spans="2:15" ht="15.75" thickBot="1" x14ac:dyDescent="0.3">
      <c r="B91" s="148"/>
      <c r="C91" s="149">
        <v>18101001</v>
      </c>
      <c r="D91" s="149" t="s">
        <v>208</v>
      </c>
      <c r="E91" s="149">
        <v>5314000</v>
      </c>
      <c r="F91" s="149">
        <v>0</v>
      </c>
      <c r="I91" s="149">
        <v>-5314000</v>
      </c>
      <c r="J91" s="149">
        <v>0</v>
      </c>
      <c r="K91" s="149">
        <v>0</v>
      </c>
      <c r="L91" s="149">
        <v>0</v>
      </c>
      <c r="M91" s="149">
        <v>0</v>
      </c>
      <c r="N91" s="149" t="s">
        <v>602</v>
      </c>
      <c r="O91" s="150"/>
    </row>
    <row r="92" spans="2:15" ht="15.75" thickBot="1" x14ac:dyDescent="0.3">
      <c r="B92" s="148"/>
      <c r="C92" s="149">
        <v>18201001</v>
      </c>
      <c r="D92" s="149" t="s">
        <v>567</v>
      </c>
      <c r="E92" s="149">
        <v>14090000</v>
      </c>
      <c r="F92" s="149">
        <v>0</v>
      </c>
      <c r="I92" s="149">
        <v>-14090000</v>
      </c>
      <c r="J92" s="149">
        <v>0</v>
      </c>
      <c r="K92" s="149">
        <v>0</v>
      </c>
      <c r="L92" s="149">
        <v>0</v>
      </c>
      <c r="M92" s="149">
        <v>0</v>
      </c>
      <c r="N92" s="149" t="s">
        <v>602</v>
      </c>
      <c r="O92" s="150"/>
    </row>
    <row r="93" spans="2:15" ht="15.75" thickBot="1" x14ac:dyDescent="0.3">
      <c r="B93" s="148"/>
      <c r="C93" s="149">
        <v>19301002</v>
      </c>
      <c r="D93" s="149" t="s">
        <v>733</v>
      </c>
      <c r="E93" s="158">
        <v>500000</v>
      </c>
      <c r="F93" s="158">
        <v>0</v>
      </c>
      <c r="I93" s="149">
        <v>-500000</v>
      </c>
      <c r="J93" s="149">
        <v>0</v>
      </c>
      <c r="K93" s="149">
        <v>0</v>
      </c>
      <c r="L93" s="149">
        <v>500000</v>
      </c>
      <c r="M93" s="149">
        <v>500000</v>
      </c>
      <c r="N93" s="149" t="s">
        <v>586</v>
      </c>
      <c r="O93" s="150"/>
    </row>
    <row r="94" spans="2:15" ht="15.75" thickBot="1" x14ac:dyDescent="0.3">
      <c r="B94" s="148"/>
      <c r="C94" s="149">
        <v>19301006</v>
      </c>
      <c r="D94" s="149" t="s">
        <v>734</v>
      </c>
      <c r="E94" s="158">
        <v>1500000</v>
      </c>
      <c r="F94" s="158">
        <v>0</v>
      </c>
      <c r="I94" s="149">
        <v>-1500000</v>
      </c>
      <c r="J94" s="149">
        <v>0</v>
      </c>
      <c r="K94" s="149">
        <v>0</v>
      </c>
      <c r="L94" s="149">
        <v>150000</v>
      </c>
      <c r="M94" s="149">
        <v>150000</v>
      </c>
      <c r="N94" s="149" t="s">
        <v>586</v>
      </c>
      <c r="O94" s="150"/>
    </row>
    <row r="95" spans="2:15" ht="15.75" thickBot="1" x14ac:dyDescent="0.3">
      <c r="B95" s="148"/>
      <c r="C95" s="149">
        <v>19301010</v>
      </c>
      <c r="D95" s="149" t="s">
        <v>735</v>
      </c>
      <c r="E95" s="158">
        <v>400000</v>
      </c>
      <c r="F95" s="158">
        <v>297425</v>
      </c>
      <c r="I95" s="149">
        <v>-400000</v>
      </c>
      <c r="J95" s="149">
        <v>297425</v>
      </c>
      <c r="K95" s="149">
        <v>0</v>
      </c>
      <c r="L95" s="149">
        <v>400000</v>
      </c>
      <c r="M95" s="149">
        <v>400000</v>
      </c>
      <c r="N95" s="149" t="s">
        <v>586</v>
      </c>
      <c r="O95" s="150"/>
    </row>
    <row r="96" spans="2:15" ht="15.75" thickBot="1" x14ac:dyDescent="0.3">
      <c r="B96" s="148"/>
      <c r="C96" s="149">
        <v>19301021</v>
      </c>
      <c r="D96" s="149" t="s">
        <v>767</v>
      </c>
      <c r="E96" s="158">
        <v>1000000</v>
      </c>
      <c r="F96" s="158">
        <v>0</v>
      </c>
      <c r="I96" s="149">
        <v>-1000000</v>
      </c>
      <c r="J96" s="149">
        <v>0</v>
      </c>
      <c r="K96" s="149">
        <v>0</v>
      </c>
      <c r="L96" s="149">
        <v>100000</v>
      </c>
      <c r="M96" s="149">
        <v>100000</v>
      </c>
      <c r="N96" s="149" t="s">
        <v>586</v>
      </c>
      <c r="O96" s="150"/>
    </row>
    <row r="97" spans="2:15" ht="15.75" thickBot="1" x14ac:dyDescent="0.3">
      <c r="B97" s="148"/>
      <c r="C97" s="149">
        <v>19301023</v>
      </c>
      <c r="D97" s="149" t="s">
        <v>737</v>
      </c>
      <c r="E97" s="158">
        <v>75000</v>
      </c>
      <c r="F97" s="158">
        <v>0</v>
      </c>
      <c r="I97" s="149">
        <v>-75000</v>
      </c>
      <c r="J97" s="149">
        <v>0</v>
      </c>
      <c r="K97" s="149">
        <v>0</v>
      </c>
      <c r="L97" s="149">
        <v>75000</v>
      </c>
      <c r="M97" s="149">
        <v>75000</v>
      </c>
      <c r="N97" s="149" t="s">
        <v>586</v>
      </c>
      <c r="O97" s="150"/>
    </row>
    <row r="98" spans="2:15" ht="15.75" thickBot="1" x14ac:dyDescent="0.3">
      <c r="B98" s="148"/>
      <c r="C98" s="149">
        <v>19301026</v>
      </c>
      <c r="D98" s="149" t="s">
        <v>738</v>
      </c>
      <c r="E98" s="158">
        <v>3000000</v>
      </c>
      <c r="F98" s="158">
        <v>0</v>
      </c>
      <c r="I98" s="149">
        <v>-3000000</v>
      </c>
      <c r="J98" s="149">
        <v>0</v>
      </c>
      <c r="K98" s="149">
        <v>0</v>
      </c>
      <c r="L98" s="149">
        <v>300000</v>
      </c>
      <c r="M98" s="149">
        <v>300000</v>
      </c>
      <c r="N98" s="149" t="s">
        <v>586</v>
      </c>
      <c r="O98" s="150"/>
    </row>
    <row r="99" spans="2:15" ht="15.75" thickBot="1" x14ac:dyDescent="0.3">
      <c r="B99" s="148"/>
      <c r="C99" s="149">
        <v>19301027</v>
      </c>
      <c r="D99" s="149" t="s">
        <v>768</v>
      </c>
      <c r="E99" s="158">
        <v>180000</v>
      </c>
      <c r="F99" s="158">
        <v>0</v>
      </c>
      <c r="I99" s="149">
        <v>-180000</v>
      </c>
      <c r="J99" s="149">
        <v>0</v>
      </c>
      <c r="K99" s="149">
        <v>0</v>
      </c>
      <c r="L99" s="149">
        <v>180000</v>
      </c>
      <c r="M99" s="149">
        <v>180000</v>
      </c>
      <c r="N99" s="149" t="s">
        <v>586</v>
      </c>
      <c r="O99" s="150"/>
    </row>
    <row r="100" spans="2:15" ht="15.75" thickBot="1" x14ac:dyDescent="0.3">
      <c r="B100" s="148"/>
      <c r="C100" s="149">
        <v>19302001</v>
      </c>
      <c r="D100" s="149" t="s">
        <v>322</v>
      </c>
      <c r="E100" s="158">
        <v>100000</v>
      </c>
      <c r="F100" s="158">
        <v>0</v>
      </c>
      <c r="I100" s="149">
        <v>-100000</v>
      </c>
      <c r="J100" s="149">
        <v>0</v>
      </c>
      <c r="K100" s="149">
        <v>0</v>
      </c>
      <c r="L100" s="149">
        <v>100000</v>
      </c>
      <c r="M100" s="149">
        <v>100000</v>
      </c>
      <c r="N100" s="149" t="s">
        <v>586</v>
      </c>
      <c r="O100" s="150"/>
    </row>
    <row r="101" spans="2:15" ht="15.75" thickBot="1" x14ac:dyDescent="0.3">
      <c r="B101" s="148"/>
      <c r="C101" s="149">
        <v>19302002</v>
      </c>
      <c r="D101" s="149" t="s">
        <v>323</v>
      </c>
      <c r="E101" s="158">
        <v>100000</v>
      </c>
      <c r="F101" s="158">
        <v>0</v>
      </c>
      <c r="I101" s="149">
        <v>-100000</v>
      </c>
      <c r="J101" s="149">
        <v>0</v>
      </c>
      <c r="K101" s="149">
        <v>0</v>
      </c>
      <c r="L101" s="149">
        <v>100000</v>
      </c>
      <c r="M101" s="149">
        <v>100000</v>
      </c>
      <c r="N101" s="149" t="s">
        <v>586</v>
      </c>
      <c r="O101" s="150"/>
    </row>
    <row r="102" spans="2:15" ht="15.75" thickBot="1" x14ac:dyDescent="0.3">
      <c r="B102" s="148"/>
      <c r="C102" s="149">
        <v>19302003</v>
      </c>
      <c r="D102" s="149" t="s">
        <v>324</v>
      </c>
      <c r="E102" s="158">
        <v>100000</v>
      </c>
      <c r="F102" s="158">
        <v>0</v>
      </c>
      <c r="I102" s="149">
        <v>-100000</v>
      </c>
      <c r="J102" s="149">
        <v>0</v>
      </c>
      <c r="K102" s="149">
        <v>0</v>
      </c>
      <c r="L102" s="149">
        <v>100000</v>
      </c>
      <c r="M102" s="149">
        <v>100000</v>
      </c>
      <c r="N102" s="149" t="s">
        <v>586</v>
      </c>
      <c r="O102" s="150"/>
    </row>
    <row r="103" spans="2:15" ht="15.75" thickBot="1" x14ac:dyDescent="0.3">
      <c r="B103" s="148"/>
      <c r="C103" s="149">
        <v>19302004</v>
      </c>
      <c r="D103" s="149" t="s">
        <v>740</v>
      </c>
      <c r="E103" s="158">
        <v>100000</v>
      </c>
      <c r="F103" s="158">
        <v>0</v>
      </c>
      <c r="I103" s="149">
        <v>-100000</v>
      </c>
      <c r="J103" s="149">
        <v>0</v>
      </c>
      <c r="K103" s="149">
        <v>0</v>
      </c>
      <c r="L103" s="149">
        <v>100000</v>
      </c>
      <c r="M103" s="149">
        <v>100000</v>
      </c>
      <c r="N103" s="149" t="s">
        <v>586</v>
      </c>
      <c r="O103" s="150"/>
    </row>
    <row r="104" spans="2:15" ht="15.75" thickBot="1" x14ac:dyDescent="0.3">
      <c r="B104" s="148"/>
      <c r="C104" s="149">
        <v>19302005</v>
      </c>
      <c r="D104" s="149" t="s">
        <v>431</v>
      </c>
      <c r="E104" s="158">
        <v>100000</v>
      </c>
      <c r="F104" s="158">
        <v>40304</v>
      </c>
      <c r="I104" s="149">
        <v>-100000</v>
      </c>
      <c r="J104" s="149">
        <v>40304</v>
      </c>
      <c r="K104" s="149">
        <v>0</v>
      </c>
      <c r="L104" s="149">
        <v>100000</v>
      </c>
      <c r="M104" s="149">
        <v>100000</v>
      </c>
      <c r="N104" s="149" t="s">
        <v>586</v>
      </c>
      <c r="O104" s="150"/>
    </row>
    <row r="105" spans="2:15" ht="27" thickBot="1" x14ac:dyDescent="0.3">
      <c r="B105" s="148"/>
      <c r="C105" s="149">
        <v>19302006</v>
      </c>
      <c r="D105" s="149" t="s">
        <v>742</v>
      </c>
      <c r="E105" s="158">
        <v>1000000</v>
      </c>
      <c r="F105" s="158">
        <v>0</v>
      </c>
      <c r="I105" s="149">
        <v>-1000000</v>
      </c>
      <c r="J105" s="149">
        <v>0</v>
      </c>
      <c r="K105" s="149">
        <v>0</v>
      </c>
      <c r="L105" s="149">
        <v>1000000</v>
      </c>
      <c r="M105" s="149">
        <v>1000000</v>
      </c>
      <c r="N105" s="149" t="s">
        <v>586</v>
      </c>
      <c r="O105" s="150"/>
    </row>
    <row r="106" spans="2:15" ht="15.75" thickBot="1" x14ac:dyDescent="0.3">
      <c r="B106" s="148"/>
      <c r="C106" s="149">
        <v>19302007</v>
      </c>
      <c r="D106" s="149" t="s">
        <v>472</v>
      </c>
      <c r="E106" s="158">
        <v>200000</v>
      </c>
      <c r="F106" s="158">
        <v>0</v>
      </c>
      <c r="I106" s="149">
        <v>-200000</v>
      </c>
      <c r="J106" s="149">
        <v>0</v>
      </c>
      <c r="K106" s="149">
        <v>0</v>
      </c>
      <c r="L106" s="149">
        <v>200000</v>
      </c>
      <c r="M106" s="149">
        <v>200000</v>
      </c>
      <c r="N106" s="149" t="s">
        <v>586</v>
      </c>
      <c r="O106" s="150"/>
    </row>
    <row r="107" spans="2:15" ht="15.75" thickBot="1" x14ac:dyDescent="0.3">
      <c r="B107" s="148"/>
      <c r="C107" s="149">
        <v>19302008</v>
      </c>
      <c r="D107" s="149" t="s">
        <v>743</v>
      </c>
      <c r="E107" s="158">
        <v>75000</v>
      </c>
      <c r="F107" s="158">
        <v>0</v>
      </c>
      <c r="I107" s="149">
        <v>-75000</v>
      </c>
      <c r="J107" s="149">
        <v>0</v>
      </c>
      <c r="K107" s="149">
        <v>0</v>
      </c>
      <c r="L107" s="149">
        <v>75000</v>
      </c>
      <c r="M107" s="149">
        <v>75000</v>
      </c>
      <c r="N107" s="149" t="s">
        <v>586</v>
      </c>
      <c r="O107" s="150"/>
    </row>
    <row r="108" spans="2:15" ht="15.75" thickBot="1" x14ac:dyDescent="0.3">
      <c r="B108" s="148"/>
      <c r="C108" s="149">
        <v>19302009</v>
      </c>
      <c r="D108" s="149" t="s">
        <v>744</v>
      </c>
      <c r="E108" s="158">
        <v>70000</v>
      </c>
      <c r="F108" s="158">
        <v>0</v>
      </c>
      <c r="I108" s="149">
        <v>-70000</v>
      </c>
      <c r="J108" s="149">
        <v>0</v>
      </c>
      <c r="K108" s="149">
        <v>0</v>
      </c>
      <c r="L108" s="149">
        <v>70000</v>
      </c>
      <c r="M108" s="149">
        <v>70000</v>
      </c>
      <c r="N108" s="149" t="s">
        <v>586</v>
      </c>
      <c r="O108" s="150"/>
    </row>
    <row r="109" spans="2:15" ht="15.75" thickBot="1" x14ac:dyDescent="0.3">
      <c r="B109" s="148"/>
      <c r="C109" s="149">
        <v>19401001</v>
      </c>
      <c r="D109" s="149" t="s">
        <v>769</v>
      </c>
      <c r="E109" s="158">
        <v>50000</v>
      </c>
      <c r="F109" s="158">
        <v>32413</v>
      </c>
      <c r="I109" s="149">
        <v>-50000</v>
      </c>
      <c r="J109" s="149">
        <v>32413</v>
      </c>
      <c r="K109" s="149">
        <v>0</v>
      </c>
      <c r="L109" s="149">
        <v>50000</v>
      </c>
      <c r="M109" s="149">
        <v>50000</v>
      </c>
      <c r="N109" s="149" t="s">
        <v>586</v>
      </c>
      <c r="O109" s="150"/>
    </row>
    <row r="110" spans="2:15" ht="15.75" thickBot="1" x14ac:dyDescent="0.3">
      <c r="B110" s="148"/>
      <c r="C110" s="149">
        <v>19401002</v>
      </c>
      <c r="D110" s="149" t="s">
        <v>770</v>
      </c>
      <c r="E110" s="158">
        <v>100000</v>
      </c>
      <c r="F110" s="158">
        <v>114407.4</v>
      </c>
      <c r="I110" s="149">
        <v>-100000</v>
      </c>
      <c r="J110" s="149">
        <v>114407.4</v>
      </c>
      <c r="K110" s="149">
        <v>0</v>
      </c>
      <c r="L110" s="149">
        <v>100000</v>
      </c>
      <c r="M110" s="149">
        <v>100000</v>
      </c>
      <c r="N110" s="149" t="s">
        <v>586</v>
      </c>
      <c r="O110" s="150"/>
    </row>
    <row r="111" spans="2:15" ht="15.75" thickBot="1" x14ac:dyDescent="0.3">
      <c r="B111" s="148"/>
      <c r="C111" s="149">
        <v>19401003</v>
      </c>
      <c r="D111" s="149" t="s">
        <v>771</v>
      </c>
      <c r="E111" s="158">
        <v>20000</v>
      </c>
      <c r="F111" s="158">
        <v>15145.2</v>
      </c>
      <c r="I111" s="149">
        <v>-20000</v>
      </c>
      <c r="J111" s="149">
        <v>15145.2</v>
      </c>
      <c r="K111" s="149">
        <v>0</v>
      </c>
      <c r="L111" s="149">
        <v>20000</v>
      </c>
      <c r="M111" s="149">
        <v>20000</v>
      </c>
      <c r="N111" s="149" t="s">
        <v>586</v>
      </c>
      <c r="O111" s="150"/>
    </row>
    <row r="112" spans="2:15" ht="15.75" thickBot="1" x14ac:dyDescent="0.3">
      <c r="B112" s="148"/>
      <c r="C112" s="149">
        <v>19401004</v>
      </c>
      <c r="D112" s="149" t="s">
        <v>772</v>
      </c>
      <c r="E112" s="158">
        <v>100000</v>
      </c>
      <c r="F112" s="158">
        <v>96174</v>
      </c>
      <c r="I112" s="149">
        <v>-100000</v>
      </c>
      <c r="J112" s="149">
        <v>96174</v>
      </c>
      <c r="K112" s="149">
        <v>0</v>
      </c>
      <c r="L112" s="149">
        <v>100000</v>
      </c>
      <c r="M112" s="149">
        <v>100000</v>
      </c>
      <c r="N112" s="149" t="s">
        <v>586</v>
      </c>
      <c r="O112" s="150"/>
    </row>
    <row r="113" spans="2:15" ht="15.75" thickBot="1" x14ac:dyDescent="0.3">
      <c r="B113" s="148"/>
      <c r="C113" s="149">
        <v>19401005</v>
      </c>
      <c r="D113" s="149" t="s">
        <v>773</v>
      </c>
      <c r="E113" s="158">
        <v>10000</v>
      </c>
      <c r="F113" s="158">
        <v>3860</v>
      </c>
      <c r="I113" s="149">
        <v>-10000</v>
      </c>
      <c r="J113" s="149">
        <v>3860</v>
      </c>
      <c r="K113" s="149">
        <v>0</v>
      </c>
      <c r="L113" s="149">
        <v>10000</v>
      </c>
      <c r="M113" s="149">
        <v>10000</v>
      </c>
      <c r="N113" s="149" t="s">
        <v>586</v>
      </c>
      <c r="O113" s="150"/>
    </row>
    <row r="114" spans="2:15" ht="15.75" thickBot="1" x14ac:dyDescent="0.3">
      <c r="B114" s="148"/>
      <c r="C114" s="149">
        <v>19402001</v>
      </c>
      <c r="D114" s="149" t="s">
        <v>774</v>
      </c>
      <c r="E114" s="158">
        <v>1160000</v>
      </c>
      <c r="F114" s="158">
        <v>1841547</v>
      </c>
      <c r="I114" s="149">
        <v>-1160000</v>
      </c>
      <c r="J114" s="149">
        <v>1841547</v>
      </c>
      <c r="K114" s="149">
        <v>0</v>
      </c>
      <c r="L114" s="149">
        <v>1160000</v>
      </c>
      <c r="M114" s="149">
        <v>1160000</v>
      </c>
      <c r="N114" s="149" t="s">
        <v>586</v>
      </c>
      <c r="O114" s="150"/>
    </row>
    <row r="115" spans="2:15" ht="15.75" thickBot="1" x14ac:dyDescent="0.3">
      <c r="B115" s="148"/>
      <c r="C115" s="149">
        <v>19402002</v>
      </c>
      <c r="D115" s="149" t="s">
        <v>775</v>
      </c>
      <c r="E115" s="158">
        <v>20000</v>
      </c>
      <c r="F115" s="158">
        <v>18172.5</v>
      </c>
      <c r="I115" s="149">
        <v>-20000</v>
      </c>
      <c r="J115" s="149">
        <v>18172.5</v>
      </c>
      <c r="K115" s="149">
        <v>0</v>
      </c>
      <c r="L115" s="149">
        <v>20000</v>
      </c>
      <c r="M115" s="149">
        <v>20000</v>
      </c>
      <c r="N115" s="149" t="s">
        <v>586</v>
      </c>
      <c r="O115" s="150"/>
    </row>
    <row r="116" spans="2:15" ht="15.75" thickBot="1" x14ac:dyDescent="0.3">
      <c r="B116" s="148"/>
      <c r="C116" s="149">
        <v>19402003</v>
      </c>
      <c r="D116" s="149" t="s">
        <v>776</v>
      </c>
      <c r="E116" s="158">
        <v>25000</v>
      </c>
      <c r="F116" s="158">
        <v>31486.5</v>
      </c>
      <c r="I116" s="149">
        <v>-25000</v>
      </c>
      <c r="J116" s="149">
        <v>31486.5</v>
      </c>
      <c r="K116" s="149">
        <v>0</v>
      </c>
      <c r="L116" s="149">
        <v>25000</v>
      </c>
      <c r="M116" s="149">
        <v>25000</v>
      </c>
      <c r="N116" s="149" t="s">
        <v>586</v>
      </c>
      <c r="O116" s="150"/>
    </row>
    <row r="117" spans="2:15" ht="15.75" thickBot="1" x14ac:dyDescent="0.3">
      <c r="B117" s="148"/>
      <c r="C117" s="149">
        <v>19402005</v>
      </c>
      <c r="D117" s="149" t="s">
        <v>777</v>
      </c>
      <c r="E117" s="158">
        <v>15000</v>
      </c>
      <c r="F117" s="158">
        <v>12780</v>
      </c>
      <c r="I117" s="149">
        <v>-15000</v>
      </c>
      <c r="J117" s="149">
        <v>12780</v>
      </c>
      <c r="K117" s="149">
        <v>0</v>
      </c>
      <c r="L117" s="149">
        <v>15000</v>
      </c>
      <c r="M117" s="149">
        <v>15000</v>
      </c>
      <c r="N117" s="149" t="s">
        <v>586</v>
      </c>
      <c r="O117" s="1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66"/>
  </sheetPr>
  <dimension ref="B1:AN63"/>
  <sheetViews>
    <sheetView rightToLeft="1" tabSelected="1" showWhiteSpace="0" view="pageBreakPreview" zoomScale="80" zoomScaleNormal="80" zoomScaleSheetLayoutView="80" workbookViewId="0">
      <pane ySplit="4" topLeftCell="A5" activePane="bottomLeft" state="frozen"/>
      <selection pane="bottomLeft" activeCell="J5" sqref="J5"/>
    </sheetView>
  </sheetViews>
  <sheetFormatPr defaultColWidth="9.125" defaultRowHeight="15.75" x14ac:dyDescent="0.25"/>
  <cols>
    <col min="1" max="1" width="1.75" style="124" customWidth="1"/>
    <col min="2" max="2" width="8.375" style="201" bestFit="1" customWidth="1"/>
    <col min="3" max="3" width="32" style="202" customWidth="1"/>
    <col min="4" max="5" width="12.25" style="201" bestFit="1" customWidth="1"/>
    <col min="6" max="6" width="13.75" style="201" bestFit="1" customWidth="1"/>
    <col min="7" max="7" width="10" style="201" bestFit="1" customWidth="1"/>
    <col min="8" max="8" width="2" style="201" bestFit="1" customWidth="1"/>
    <col min="9" max="9" width="8.875" style="201" bestFit="1" customWidth="1"/>
    <col min="10" max="10" width="30.625" style="203" customWidth="1"/>
    <col min="11" max="11" width="12.25" style="201" bestFit="1" customWidth="1"/>
    <col min="12" max="12" width="14" style="201" bestFit="1" customWidth="1"/>
    <col min="13" max="13" width="12.25" style="201" bestFit="1" customWidth="1"/>
    <col min="14" max="14" width="11" style="201" bestFit="1" customWidth="1"/>
    <col min="15" max="15" width="15.875" style="201" bestFit="1" customWidth="1"/>
    <col min="16" max="16" width="10.875" style="201" bestFit="1" customWidth="1"/>
    <col min="17" max="17" width="8.25" style="124" bestFit="1" customWidth="1"/>
    <col min="18" max="18" width="9.875" style="124" bestFit="1" customWidth="1"/>
    <col min="19" max="16384" width="9.125" style="124"/>
  </cols>
  <sheetData>
    <row r="1" spans="2:40" s="113" customFormat="1" ht="18.75" customHeight="1" x14ac:dyDescent="0.2">
      <c r="B1" s="299" t="s">
        <v>804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</row>
    <row r="2" spans="2:40" s="113" customFormat="1" x14ac:dyDescent="0.2">
      <c r="B2" s="300" t="s">
        <v>263</v>
      </c>
      <c r="C2" s="300"/>
      <c r="D2" s="300"/>
      <c r="E2" s="300"/>
      <c r="F2" s="300"/>
      <c r="G2" s="300"/>
      <c r="H2" s="298"/>
      <c r="I2" s="300" t="s">
        <v>0</v>
      </c>
      <c r="J2" s="300"/>
      <c r="K2" s="300"/>
      <c r="L2" s="300"/>
      <c r="M2" s="300"/>
      <c r="N2" s="300"/>
      <c r="O2" s="300"/>
      <c r="P2" s="300"/>
      <c r="Q2" s="300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2:40" s="112" customFormat="1" ht="47.25" x14ac:dyDescent="0.2">
      <c r="B3" s="303" t="s">
        <v>409</v>
      </c>
      <c r="C3" s="303" t="s">
        <v>410</v>
      </c>
      <c r="D3" s="195" t="s">
        <v>520</v>
      </c>
      <c r="E3" s="195" t="s">
        <v>522</v>
      </c>
      <c r="F3" s="196" t="s">
        <v>816</v>
      </c>
      <c r="G3" s="196" t="s">
        <v>805</v>
      </c>
      <c r="H3" s="298"/>
      <c r="I3" s="303" t="s">
        <v>409</v>
      </c>
      <c r="J3" s="303" t="s">
        <v>410</v>
      </c>
      <c r="K3" s="197" t="s">
        <v>520</v>
      </c>
      <c r="L3" s="197" t="s">
        <v>521</v>
      </c>
      <c r="M3" s="197" t="s">
        <v>522</v>
      </c>
      <c r="N3" s="195" t="s">
        <v>523</v>
      </c>
      <c r="O3" s="196" t="s">
        <v>815</v>
      </c>
      <c r="P3" s="196" t="s">
        <v>805</v>
      </c>
      <c r="Q3" s="196" t="s">
        <v>817</v>
      </c>
    </row>
    <row r="4" spans="2:40" s="112" customFormat="1" x14ac:dyDescent="0.2">
      <c r="B4" s="303"/>
      <c r="C4" s="303"/>
      <c r="D4" s="295">
        <v>2020</v>
      </c>
      <c r="E4" s="295"/>
      <c r="F4" s="295"/>
      <c r="G4" s="295"/>
      <c r="H4" s="298"/>
      <c r="I4" s="303"/>
      <c r="J4" s="303"/>
      <c r="K4" s="295">
        <v>2020</v>
      </c>
      <c r="L4" s="295"/>
      <c r="M4" s="295"/>
      <c r="N4" s="295"/>
      <c r="O4" s="295"/>
      <c r="P4" s="295"/>
      <c r="Q4" s="295"/>
    </row>
    <row r="5" spans="2:40" s="112" customFormat="1" x14ac:dyDescent="0.2">
      <c r="B5" s="114" t="s">
        <v>411</v>
      </c>
      <c r="C5" s="114" t="s">
        <v>547</v>
      </c>
      <c r="D5" s="115">
        <f>IF('ر-باب'!C6&gt;0,'ر-باب'!C6,"")</f>
        <v>21233550</v>
      </c>
      <c r="E5" s="198">
        <f>IF('ر-باب'!D6&gt;0,'ر-باب'!D6,"")</f>
        <v>19266506.261999998</v>
      </c>
      <c r="F5" s="199">
        <f>IFERROR(E5/D5,"")</f>
        <v>0.90736152277880988</v>
      </c>
      <c r="G5" s="200">
        <f>IFERROR(E5/$D$11,"")</f>
        <v>0.53931548152502518</v>
      </c>
      <c r="H5" s="298"/>
      <c r="I5" s="114" t="s">
        <v>411</v>
      </c>
      <c r="J5" s="114" t="s">
        <v>412</v>
      </c>
      <c r="K5" s="115">
        <f>IF('ن-باب'!C14&gt;0,'ن-باب'!C14,"")</f>
        <v>31092000</v>
      </c>
      <c r="L5" s="115">
        <f>IF('ن-باب'!D14&gt;0,'ن-باب'!D14,"")</f>
        <v>31092000</v>
      </c>
      <c r="M5" s="198">
        <f>IF('ن-باب'!E14&gt;0,'ن-باب'!E14,"")</f>
        <v>25945527.291000001</v>
      </c>
      <c r="N5" s="115">
        <f>IF('ن-باب'!F14&gt;0,'ن-باب'!F14,"")</f>
        <v>1482083.9550000001</v>
      </c>
      <c r="O5" s="199">
        <f>IFERROR(M5/L5,"")</f>
        <v>0.83447598388653033</v>
      </c>
      <c r="P5" s="200">
        <f>IFERROR(M5/$L$11,"")</f>
        <v>0.72627721674504542</v>
      </c>
      <c r="Q5" s="126"/>
    </row>
    <row r="6" spans="2:40" s="112" customFormat="1" x14ac:dyDescent="0.2">
      <c r="B6" s="114" t="s">
        <v>413</v>
      </c>
      <c r="C6" s="114" t="s">
        <v>223</v>
      </c>
      <c r="D6" s="115">
        <f>IF('ر-باب'!C9&gt;0,'ر-باب'!C9,"")</f>
        <v>7600000</v>
      </c>
      <c r="E6" s="198">
        <f>IF('ر-باب'!D9&gt;0,'ر-باب'!D9,"")</f>
        <v>7356033</v>
      </c>
      <c r="F6" s="199">
        <f t="shared" ref="F6:F11" si="0">IFERROR(E6/D6,"")</f>
        <v>0.96789907894736837</v>
      </c>
      <c r="G6" s="200">
        <f t="shared" ref="G6:G11" si="1">IFERROR(E6/$D$11,"")</f>
        <v>0.20591291568693315</v>
      </c>
      <c r="H6" s="298"/>
      <c r="I6" s="116" t="s">
        <v>413</v>
      </c>
      <c r="J6" s="116" t="s">
        <v>414</v>
      </c>
      <c r="K6" s="117">
        <f>IF('ن-باب'!C23&gt;0,'ن-باب'!C23,"")</f>
        <v>2128500</v>
      </c>
      <c r="L6" s="117">
        <f>IF('ن-باب'!D23&gt;0,'ن-باب'!D23,"")</f>
        <v>2128500</v>
      </c>
      <c r="M6" s="198">
        <f>IF('ن-باب'!E23&gt;0,'ن-باب'!E23,"")</f>
        <v>1105651.8029999998</v>
      </c>
      <c r="N6" s="117">
        <f>IF('ن-باب'!F23&gt;0,'ن-باب'!F23,"")</f>
        <v>489397.52400000003</v>
      </c>
      <c r="O6" s="199">
        <f>IFERROR(M6/L6,"")</f>
        <v>0.51945116420014081</v>
      </c>
      <c r="P6" s="200">
        <f>IFERROR(M6/$L$11,"")</f>
        <v>3.0949832129660727E-2</v>
      </c>
      <c r="Q6" s="274">
        <f>M6/E9</f>
        <v>4.0104766902606413E-2</v>
      </c>
    </row>
    <row r="7" spans="2:40" s="112" customFormat="1" x14ac:dyDescent="0.2">
      <c r="B7" s="114" t="s">
        <v>550</v>
      </c>
      <c r="C7" s="114" t="s">
        <v>544</v>
      </c>
      <c r="D7" s="115">
        <f>IF('ر-باب'!C13&gt;0,'ر-باب'!C13,"")</f>
        <v>1501450</v>
      </c>
      <c r="E7" s="198">
        <f>IF('ر-باب'!D13&gt;0,'ر-باب'!D13,"")</f>
        <v>919547.61700000009</v>
      </c>
      <c r="F7" s="199">
        <f t="shared" si="0"/>
        <v>0.61243971960438248</v>
      </c>
      <c r="G7" s="200">
        <f t="shared" si="1"/>
        <v>2.5740331905721645E-2</v>
      </c>
      <c r="H7" s="298"/>
      <c r="I7" s="114" t="s">
        <v>415</v>
      </c>
      <c r="J7" s="114" t="s">
        <v>139</v>
      </c>
      <c r="K7" s="115">
        <f>IF('ن-باب'!C26&gt;0,'ن-باب'!C26,"")</f>
        <v>310000</v>
      </c>
      <c r="L7" s="115">
        <f>IF('ن-باب'!D26&gt;0,'ن-باب'!D26,"")</f>
        <v>310000</v>
      </c>
      <c r="M7" s="198">
        <f>IF('ن-باب'!E26&gt;0,'ن-باب'!E26,"")</f>
        <v>309999.35200000001</v>
      </c>
      <c r="N7" s="115" t="str">
        <f>IF('ن-باب'!F26&gt;0,'ن-باب'!F26,"")</f>
        <v/>
      </c>
      <c r="O7" s="199">
        <f t="shared" ref="O7:O11" si="2">IFERROR(M7/L7,"")</f>
        <v>0.99999790967741942</v>
      </c>
      <c r="P7" s="200">
        <f t="shared" ref="P7:P11" si="3">IFERROR(M7/$L$11,"")</f>
        <v>8.6776215429403211E-3</v>
      </c>
      <c r="Q7" s="274">
        <f>M7/E9</f>
        <v>1.124445482581919E-2</v>
      </c>
    </row>
    <row r="8" spans="2:40" s="112" customFormat="1" x14ac:dyDescent="0.2">
      <c r="B8" s="114" t="s">
        <v>416</v>
      </c>
      <c r="C8" s="114" t="s">
        <v>206</v>
      </c>
      <c r="D8" s="115">
        <f>IF('ر-باب'!C16&gt;0,'ر-باب'!C16,"")</f>
        <v>75000</v>
      </c>
      <c r="E8" s="198">
        <f>IF('ر-باب'!D16&gt;0,'ر-باب'!D16,"")</f>
        <v>27000</v>
      </c>
      <c r="F8" s="199">
        <f t="shared" si="0"/>
        <v>0.36</v>
      </c>
      <c r="G8" s="200">
        <f t="shared" si="1"/>
        <v>7.5579442391669467E-4</v>
      </c>
      <c r="H8" s="298"/>
      <c r="I8" s="114" t="s">
        <v>416</v>
      </c>
      <c r="J8" s="114" t="s">
        <v>417</v>
      </c>
      <c r="K8" s="115">
        <f>IF('ن-باب'!C34&gt;0,'ن-باب'!C34,"")</f>
        <v>2193500</v>
      </c>
      <c r="L8" s="115">
        <f>IF('ن-باب'!D34&gt;0,'ن-باب'!D34,"")</f>
        <v>2193500</v>
      </c>
      <c r="M8" s="198">
        <f>IF('ن-باب'!E34&gt;0,'ن-باب'!E34,"")</f>
        <v>315434.163</v>
      </c>
      <c r="N8" s="115">
        <f>IF('ن-باب'!F34&gt;0,'ن-باب'!F34,"")</f>
        <v>930605.01699999999</v>
      </c>
      <c r="O8" s="199">
        <f t="shared" si="2"/>
        <v>0.14380404057442445</v>
      </c>
      <c r="P8" s="200">
        <f t="shared" si="3"/>
        <v>8.8297548706751765E-3</v>
      </c>
      <c r="Q8" s="304"/>
    </row>
    <row r="9" spans="2:40" s="112" customFormat="1" x14ac:dyDescent="0.2">
      <c r="B9" s="301" t="s">
        <v>530</v>
      </c>
      <c r="C9" s="301"/>
      <c r="D9" s="118">
        <f>SUM(D5:D8)</f>
        <v>30410000</v>
      </c>
      <c r="E9" s="118">
        <f t="shared" ref="E9" si="4">SUM(E5:E8)</f>
        <v>27569086.878999997</v>
      </c>
      <c r="F9" s="199">
        <f t="shared" si="0"/>
        <v>0.90657964087471221</v>
      </c>
      <c r="G9" s="200">
        <f t="shared" si="1"/>
        <v>0.7717245235415966</v>
      </c>
      <c r="H9" s="298"/>
      <c r="I9" s="302" t="s">
        <v>517</v>
      </c>
      <c r="J9" s="302"/>
      <c r="K9" s="119">
        <f t="shared" ref="K9:N9" si="5">SUM(K5:K8)</f>
        <v>35724000</v>
      </c>
      <c r="L9" s="119">
        <f t="shared" si="5"/>
        <v>35724000</v>
      </c>
      <c r="M9" s="119">
        <f t="shared" si="5"/>
        <v>27676612.609000001</v>
      </c>
      <c r="N9" s="119">
        <f t="shared" si="5"/>
        <v>2902086.4960000003</v>
      </c>
      <c r="O9" s="199">
        <f t="shared" si="2"/>
        <v>0.77473442528832159</v>
      </c>
      <c r="P9" s="200">
        <f t="shared" si="3"/>
        <v>0.77473442528832159</v>
      </c>
      <c r="Q9" s="304"/>
    </row>
    <row r="10" spans="2:40" s="112" customFormat="1" x14ac:dyDescent="0.2">
      <c r="B10" s="297" t="s">
        <v>562</v>
      </c>
      <c r="C10" s="297"/>
      <c r="D10" s="145">
        <f>'ر-باب'!C19</f>
        <v>5314000</v>
      </c>
      <c r="E10" s="145">
        <f>'ر-باب'!D19</f>
        <v>107525.73000000417</v>
      </c>
      <c r="F10" s="199">
        <f>IFERROR(E10/D10,"")</f>
        <v>2.0234424162590171E-2</v>
      </c>
      <c r="G10" s="200">
        <f>IFERROR(E10/$D$11,"")</f>
        <v>3.0099017467250075E-3</v>
      </c>
      <c r="H10" s="298"/>
      <c r="I10" s="296"/>
      <c r="J10" s="296"/>
      <c r="K10" s="296"/>
      <c r="L10" s="296"/>
      <c r="M10" s="296"/>
      <c r="N10" s="296"/>
      <c r="O10" s="296"/>
      <c r="P10" s="296"/>
      <c r="Q10" s="304"/>
    </row>
    <row r="11" spans="2:40" s="112" customFormat="1" x14ac:dyDescent="0.2">
      <c r="B11" s="293" t="s">
        <v>524</v>
      </c>
      <c r="C11" s="293"/>
      <c r="D11" s="118">
        <f>D9+D10</f>
        <v>35724000</v>
      </c>
      <c r="E11" s="118">
        <f t="shared" ref="E11" si="6">E9+E10</f>
        <v>27676612.609000001</v>
      </c>
      <c r="F11" s="199">
        <f t="shared" si="0"/>
        <v>0.77473442528832159</v>
      </c>
      <c r="G11" s="200">
        <f t="shared" si="1"/>
        <v>0.77473442528832159</v>
      </c>
      <c r="H11" s="298"/>
      <c r="I11" s="293" t="s">
        <v>524</v>
      </c>
      <c r="J11" s="293"/>
      <c r="K11" s="118">
        <f>K9</f>
        <v>35724000</v>
      </c>
      <c r="L11" s="118">
        <f t="shared" ref="L11:N11" si="7">L9</f>
        <v>35724000</v>
      </c>
      <c r="M11" s="118">
        <f t="shared" si="7"/>
        <v>27676612.609000001</v>
      </c>
      <c r="N11" s="118">
        <f t="shared" si="7"/>
        <v>2902086.4960000003</v>
      </c>
      <c r="O11" s="199">
        <f t="shared" si="2"/>
        <v>0.77473442528832159</v>
      </c>
      <c r="P11" s="200">
        <f t="shared" si="3"/>
        <v>0.77473442528832159</v>
      </c>
      <c r="Q11" s="304"/>
    </row>
    <row r="12" spans="2:40" s="112" customFormat="1" x14ac:dyDescent="0.2"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304"/>
    </row>
    <row r="13" spans="2:40" s="112" customFormat="1" ht="15.75" customHeight="1" x14ac:dyDescent="0.2">
      <c r="B13" s="300" t="s">
        <v>516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4"/>
    </row>
    <row r="14" spans="2:40" s="112" customFormat="1" x14ac:dyDescent="0.2">
      <c r="B14" s="300" t="s">
        <v>518</v>
      </c>
      <c r="C14" s="300"/>
      <c r="D14" s="300"/>
      <c r="E14" s="300"/>
      <c r="F14" s="300"/>
      <c r="G14" s="300"/>
      <c r="H14" s="298"/>
      <c r="I14" s="300" t="s">
        <v>519</v>
      </c>
      <c r="J14" s="300"/>
      <c r="K14" s="300"/>
      <c r="L14" s="300"/>
      <c r="M14" s="300"/>
      <c r="N14" s="300"/>
      <c r="O14" s="300"/>
      <c r="P14" s="300"/>
      <c r="Q14" s="304"/>
    </row>
    <row r="15" spans="2:40" s="112" customFormat="1" ht="31.5" x14ac:dyDescent="0.2">
      <c r="B15" s="114" t="s">
        <v>551</v>
      </c>
      <c r="C15" s="120" t="str">
        <f>'ر-فرعي'!E158</f>
        <v>تسهيلات بنكية/جاري مدين</v>
      </c>
      <c r="D15" s="115">
        <f>IF('ر-فرعي'!F158&gt;0,'ر-فرعي'!F158,"")</f>
        <v>7000000</v>
      </c>
      <c r="E15" s="198">
        <f>IF('ر-فرعي'!G158&gt;0,'ر-فرعي'!G158,"")</f>
        <v>7000000</v>
      </c>
      <c r="F15" s="199">
        <f>IFERROR(E15/D15,"")</f>
        <v>1</v>
      </c>
      <c r="G15" s="200">
        <f>IFERROR(E15/$D$19,"")</f>
        <v>0.30316154179298399</v>
      </c>
      <c r="H15" s="298"/>
      <c r="I15" s="114" t="s">
        <v>551</v>
      </c>
      <c r="J15" s="120" t="str">
        <f>'ن-فرعي'!E358</f>
        <v>تسديد قرض صندوق الادخار/جامعة آل البيت (المستحق)</v>
      </c>
      <c r="K15" s="115">
        <f>IF('ن-فرعي'!F358&gt;0,'ن-فرعي'!F358,"")</f>
        <v>1900000</v>
      </c>
      <c r="L15" s="115">
        <f>IF('ن-فرعي'!G358&gt;0,'ن-فرعي'!G358,"")</f>
        <v>1900000</v>
      </c>
      <c r="M15" s="198" t="str">
        <f>IF('ن-فرعي'!H358&gt;0,'ن-فرعي'!H358,"")</f>
        <v/>
      </c>
      <c r="N15" s="115" t="str">
        <f>IF('ن-فرعي'!I358&gt;0,'ن-فرعي'!I358,"")</f>
        <v/>
      </c>
      <c r="O15" s="199" t="str">
        <f>IFERROR(M15/L15,"")</f>
        <v/>
      </c>
      <c r="P15" s="200" t="str">
        <f>IFERROR(M15/$L$19,"")</f>
        <v/>
      </c>
      <c r="Q15" s="304"/>
    </row>
    <row r="16" spans="2:40" s="112" customFormat="1" ht="31.5" x14ac:dyDescent="0.2">
      <c r="B16" s="114" t="s">
        <v>552</v>
      </c>
      <c r="C16" s="120" t="str">
        <f>'ر-فرعي'!E159</f>
        <v>قرض  بنك القاهرة عمان/ سلفة البنك المركزي للجامعات الحكومية</v>
      </c>
      <c r="D16" s="115">
        <f>IF('ر-فرعي'!F159&gt;0,'ر-فرعي'!F159,"")</f>
        <v>2000000</v>
      </c>
      <c r="E16" s="198">
        <f>IF('ر-فرعي'!G159&gt;0,'ر-فرعي'!G159,"")</f>
        <v>1999946</v>
      </c>
      <c r="F16" s="199">
        <f t="shared" ref="F16:F19" si="8">IFERROR(E16/D16,"")</f>
        <v>0.999973</v>
      </c>
      <c r="G16" s="200">
        <f t="shared" ref="G16:G19" si="9">IFERROR(E16/$D$19,"")</f>
        <v>8.6615244694673021E-2</v>
      </c>
      <c r="H16" s="298"/>
      <c r="I16" s="114" t="s">
        <v>552</v>
      </c>
      <c r="J16" s="120" t="str">
        <f>'ن-فرعي'!E359</f>
        <v>تسديد سلفة وزارة المالية</v>
      </c>
      <c r="K16" s="115">
        <f>IF('ن-فرعي'!F359&gt;0,'ن-فرعي'!F359,"")</f>
        <v>500000</v>
      </c>
      <c r="L16" s="115">
        <f>IF('ن-فرعي'!G359&gt;0,'ن-فرعي'!G359,"")</f>
        <v>500000</v>
      </c>
      <c r="M16" s="198" t="str">
        <f>IF('ن-فرعي'!H359&gt;0,'ن-فرعي'!H359,"")</f>
        <v/>
      </c>
      <c r="N16" s="115" t="str">
        <f>IF('ن-فرعي'!I359&gt;0,'ن-فرعي'!I359,"")</f>
        <v/>
      </c>
      <c r="O16" s="199" t="str">
        <f>IFERROR(M16/L16,"")</f>
        <v/>
      </c>
      <c r="P16" s="200" t="str">
        <f t="shared" ref="P16:P19" si="10">IFERROR(M16/$L$19,"")</f>
        <v/>
      </c>
      <c r="Q16" s="304"/>
    </row>
    <row r="17" spans="2:40" s="112" customFormat="1" x14ac:dyDescent="0.2">
      <c r="B17" s="126" t="s">
        <v>553</v>
      </c>
      <c r="C17" s="120" t="str">
        <f>'ر-فرعي'!E160</f>
        <v>عجز موازنة التمويل</v>
      </c>
      <c r="D17" s="121">
        <f>IF('ر-فرعي'!F160&gt;0,'ر-فرعي'!F160,"")</f>
        <v>14090000</v>
      </c>
      <c r="E17" s="198">
        <f>IF('ر-فرعي'!G160&gt;0,'ر-فرعي'!G160,"")</f>
        <v>6483061.6050000042</v>
      </c>
      <c r="F17" s="199">
        <f t="shared" si="8"/>
        <v>0.4601179279630947</v>
      </c>
      <c r="G17" s="200">
        <f t="shared" si="9"/>
        <v>0.28077356453009977</v>
      </c>
      <c r="H17" s="298"/>
      <c r="I17" s="126" t="s">
        <v>553</v>
      </c>
      <c r="J17" s="128" t="str">
        <f>'ن-فرعي'!E360</f>
        <v>تسديد عجز موازنة السنة المالية الحالية</v>
      </c>
      <c r="K17" s="115">
        <f>IF('ن-فرعي'!F360&gt;0,'ن-فرعي'!F360,"")</f>
        <v>5314000</v>
      </c>
      <c r="L17" s="115">
        <f>IF('ن-فرعي'!G360&gt;0,'ن-فرعي'!G360,"")</f>
        <v>5314000</v>
      </c>
      <c r="M17" s="198">
        <f>IF('ن-فرعي'!H360&gt;0,'ن-فرعي'!H360,"")</f>
        <v>107525.73000000417</v>
      </c>
      <c r="N17" s="115" t="str">
        <f>IF('ن-فرعي'!I360&gt;0,'ن-فرعي'!I360,"")</f>
        <v/>
      </c>
      <c r="O17" s="199">
        <f t="shared" ref="O17:O19" si="11">IFERROR(M17/L17,"")</f>
        <v>2.0234424162590171E-2</v>
      </c>
      <c r="P17" s="200">
        <f t="shared" si="10"/>
        <v>4.6568094413167683E-3</v>
      </c>
      <c r="Q17" s="304"/>
    </row>
    <row r="18" spans="2:40" s="112" customFormat="1" x14ac:dyDescent="0.2">
      <c r="B18" s="294" t="s">
        <v>563</v>
      </c>
      <c r="C18" s="294"/>
      <c r="D18" s="193">
        <f>SUM(D15:D17)</f>
        <v>23090000</v>
      </c>
      <c r="E18" s="193">
        <f>SUM(E15:E17)</f>
        <v>15483007.605000004</v>
      </c>
      <c r="F18" s="199">
        <f t="shared" si="8"/>
        <v>0.67055035101775684</v>
      </c>
      <c r="G18" s="200">
        <f t="shared" si="9"/>
        <v>0.67055035101775684</v>
      </c>
      <c r="H18" s="298"/>
      <c r="I18" s="126" t="s">
        <v>570</v>
      </c>
      <c r="J18" s="120" t="str">
        <f>'ن-فرعي'!E361</f>
        <v>تسديد ذمة عجز موازنة التمويل المتراكم</v>
      </c>
      <c r="K18" s="115">
        <f>IF('ن-فرعي'!F361&gt;0,'ن-فرعي'!F361,"")</f>
        <v>15376000</v>
      </c>
      <c r="L18" s="115">
        <f>IF('ن-فرعي'!G361&gt;0,'ن-فرعي'!G361,"")</f>
        <v>15376000</v>
      </c>
      <c r="M18" s="198">
        <f>IF('ن-فرعي'!H361&gt;0,'ن-فرعي'!H361,"")</f>
        <v>15375481.875</v>
      </c>
      <c r="N18" s="115" t="str">
        <f>IF('ن-فرعي'!I361&gt;0,'ن-فرعي'!I361,"")</f>
        <v/>
      </c>
      <c r="O18" s="199">
        <f t="shared" si="11"/>
        <v>0.99996630300468259</v>
      </c>
      <c r="P18" s="200">
        <f t="shared" si="10"/>
        <v>0.66589354157643998</v>
      </c>
      <c r="Q18" s="304"/>
    </row>
    <row r="19" spans="2:40" s="112" customFormat="1" ht="15.75" customHeight="1" x14ac:dyDescent="0.2">
      <c r="B19" s="292" t="s">
        <v>525</v>
      </c>
      <c r="C19" s="292"/>
      <c r="D19" s="122">
        <f>SUM(D18)</f>
        <v>23090000</v>
      </c>
      <c r="E19" s="122">
        <f>SUM(E18)</f>
        <v>15483007.605000004</v>
      </c>
      <c r="F19" s="199">
        <f t="shared" si="8"/>
        <v>0.67055035101775684</v>
      </c>
      <c r="G19" s="200">
        <f t="shared" si="9"/>
        <v>0.67055035101775684</v>
      </c>
      <c r="H19" s="298"/>
      <c r="I19" s="292" t="s">
        <v>525</v>
      </c>
      <c r="J19" s="292"/>
      <c r="K19" s="123">
        <f>SUM(K15:K18)</f>
        <v>23090000</v>
      </c>
      <c r="L19" s="123">
        <f>SUM(L15:L18)</f>
        <v>23090000</v>
      </c>
      <c r="M19" s="123">
        <f>SUM(M15:M18)</f>
        <v>15483007.605000004</v>
      </c>
      <c r="N19" s="123">
        <f>SUM(N15:N18)</f>
        <v>0</v>
      </c>
      <c r="O19" s="199">
        <f t="shared" si="11"/>
        <v>0.67055035101775684</v>
      </c>
      <c r="P19" s="200">
        <f t="shared" si="10"/>
        <v>0.67055035101775684</v>
      </c>
      <c r="Q19" s="304"/>
      <c r="R19" s="273">
        <f>E18+K15+K16</f>
        <v>17883007.605000004</v>
      </c>
    </row>
    <row r="20" spans="2:40" s="112" customFormat="1" x14ac:dyDescent="0.2"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126"/>
      <c r="P20" s="126"/>
      <c r="Q20" s="304"/>
    </row>
    <row r="21" spans="2:40" s="112" customFormat="1" x14ac:dyDescent="0.2">
      <c r="B21" s="300" t="s">
        <v>528</v>
      </c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126"/>
      <c r="P21" s="126"/>
      <c r="Q21" s="304"/>
    </row>
    <row r="22" spans="2:40" s="112" customFormat="1" x14ac:dyDescent="0.2">
      <c r="B22" s="300" t="s">
        <v>558</v>
      </c>
      <c r="C22" s="300"/>
      <c r="D22" s="300"/>
      <c r="E22" s="300"/>
      <c r="F22" s="281"/>
      <c r="G22" s="281"/>
      <c r="H22" s="298"/>
      <c r="I22" s="300" t="s">
        <v>526</v>
      </c>
      <c r="J22" s="300"/>
      <c r="K22" s="300"/>
      <c r="L22" s="300"/>
      <c r="M22" s="300"/>
      <c r="N22" s="300"/>
      <c r="O22" s="126"/>
      <c r="P22" s="126"/>
      <c r="Q22" s="304"/>
    </row>
    <row r="23" spans="2:40" s="112" customFormat="1" ht="31.5" x14ac:dyDescent="0.2">
      <c r="B23" s="114" t="s">
        <v>551</v>
      </c>
      <c r="C23" s="120" t="s">
        <v>556</v>
      </c>
      <c r="D23" s="115">
        <f>IF('ر-باب'!C30&gt;0,'ر-باب'!C30,"")</f>
        <v>8500000</v>
      </c>
      <c r="E23" s="198">
        <f>IF('ر-باب'!D30&gt;0,'ر-باب'!D30,"")</f>
        <v>337729</v>
      </c>
      <c r="F23" s="199">
        <f>IFERROR(E23/D23,"")</f>
        <v>3.9732823529411765E-2</v>
      </c>
      <c r="G23" s="200">
        <f>IFERROR(E23/$D$23,"")</f>
        <v>3.9732823529411765E-2</v>
      </c>
      <c r="H23" s="298"/>
      <c r="I23" s="114" t="s">
        <v>551</v>
      </c>
      <c r="J23" s="114" t="s">
        <v>554</v>
      </c>
      <c r="K23" s="115">
        <f>IF('ن-باب'!C44&gt;0,'ن-باب'!C44,"")</f>
        <v>8500000</v>
      </c>
      <c r="L23" s="115">
        <f>IF('ن-باب'!D44&gt;0,'ن-باب'!D44,"")</f>
        <v>7635000</v>
      </c>
      <c r="M23" s="198">
        <f>IF('ن-باب'!E44&gt;0,'ن-باب'!E44,"")</f>
        <v>337729</v>
      </c>
      <c r="N23" s="115">
        <f>IF('ن-باب'!F44&gt;0,'ن-باب'!F44,"")</f>
        <v>428008.93400000001</v>
      </c>
      <c r="O23" s="199">
        <f>IFERROR(M23/L23,"")</f>
        <v>4.4234315651604454E-2</v>
      </c>
      <c r="P23" s="200">
        <f>IFERROR(M23/$K$23,"")</f>
        <v>3.9732823529411765E-2</v>
      </c>
      <c r="Q23" s="304"/>
    </row>
    <row r="24" spans="2:40" s="112" customFormat="1" x14ac:dyDescent="0.2">
      <c r="B24" s="114" t="s">
        <v>552</v>
      </c>
      <c r="C24" s="114" t="s">
        <v>557</v>
      </c>
      <c r="D24" s="115">
        <f>IF('ر-باب'!C31&gt;0,'ر-باب'!C31,"")</f>
        <v>1500000</v>
      </c>
      <c r="E24" s="198">
        <f>IF('ر-باب'!D31&gt;0,'ر-باب'!D31,"")</f>
        <v>2165985.6</v>
      </c>
      <c r="F24" s="199">
        <f t="shared" ref="F24:F25" si="12">IFERROR(E24/D24,"")</f>
        <v>1.4439904000000001</v>
      </c>
      <c r="G24" s="200">
        <f>IFERROR(E24/$D$24,"")</f>
        <v>1.4439904000000001</v>
      </c>
      <c r="H24" s="298"/>
      <c r="I24" s="114" t="s">
        <v>552</v>
      </c>
      <c r="J24" s="114" t="s">
        <v>555</v>
      </c>
      <c r="K24" s="115">
        <f>IF('ن-باب'!C45&gt;0,'ن-باب'!C45,"")</f>
        <v>1500000</v>
      </c>
      <c r="L24" s="115">
        <f>IF('ن-باب'!D45&gt;0,'ن-باب'!D45,"")</f>
        <v>2365000</v>
      </c>
      <c r="M24" s="198">
        <f>IF('ن-باب'!E45&gt;0,'ن-باب'!E45,"")</f>
        <v>2165985.6</v>
      </c>
      <c r="N24" s="115" t="str">
        <f>IF('ن-باب'!F45&gt;0,'ن-باب'!F45,"")</f>
        <v/>
      </c>
      <c r="O24" s="199">
        <f>IFERROR(M24/L24,"")</f>
        <v>0.91585014799154341</v>
      </c>
      <c r="P24" s="200">
        <f>IFERROR(M24/$K$24,"")</f>
        <v>1.4439904000000001</v>
      </c>
      <c r="Q24" s="304"/>
    </row>
    <row r="25" spans="2:40" s="112" customFormat="1" x14ac:dyDescent="0.2">
      <c r="B25" s="305" t="s">
        <v>561</v>
      </c>
      <c r="C25" s="305"/>
      <c r="D25" s="194">
        <f>SUM(D23:D24)</f>
        <v>10000000</v>
      </c>
      <c r="E25" s="194">
        <f t="shared" ref="E25" si="13">SUM(E23:E24)</f>
        <v>2503714.6</v>
      </c>
      <c r="F25" s="199">
        <f t="shared" si="12"/>
        <v>0.25037145999999999</v>
      </c>
      <c r="G25" s="200">
        <f>IFERROR(E25/$D$25,"")</f>
        <v>0.25037145999999999</v>
      </c>
      <c r="H25" s="298"/>
      <c r="I25" s="305" t="s">
        <v>561</v>
      </c>
      <c r="J25" s="305"/>
      <c r="K25" s="194">
        <f>SUM(K23:K24)</f>
        <v>10000000</v>
      </c>
      <c r="L25" s="194">
        <f t="shared" ref="L25:N25" si="14">SUM(L23:L24)</f>
        <v>10000000</v>
      </c>
      <c r="M25" s="194">
        <f t="shared" si="14"/>
        <v>2503714.6</v>
      </c>
      <c r="N25" s="194">
        <f t="shared" si="14"/>
        <v>428008.93400000001</v>
      </c>
      <c r="O25" s="199">
        <f>IFERROR(M25/L25,"")</f>
        <v>0.25037145999999999</v>
      </c>
      <c r="P25" s="200">
        <f>IFERROR(M25/$K$25,"")</f>
        <v>0.25037145999999999</v>
      </c>
      <c r="Q25" s="304"/>
    </row>
    <row r="26" spans="2:40" x14ac:dyDescent="0.25"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</row>
    <row r="27" spans="2:40" x14ac:dyDescent="0.25"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</row>
    <row r="28" spans="2:40" x14ac:dyDescent="0.25">
      <c r="D28" s="204">
        <f>D11+D19+D25</f>
        <v>68814000</v>
      </c>
      <c r="E28" s="204">
        <f>E11+E19+E25</f>
        <v>45663334.814000003</v>
      </c>
      <c r="F28" s="204"/>
      <c r="G28" s="204"/>
      <c r="K28" s="204">
        <f>K11+K19+K25</f>
        <v>68814000</v>
      </c>
      <c r="L28" s="204">
        <f>L11+L19+L25</f>
        <v>68814000</v>
      </c>
      <c r="M28" s="204">
        <f>M11+M19+M25</f>
        <v>45663334.814000003</v>
      </c>
      <c r="N28" s="204">
        <f>N11+N19+N25</f>
        <v>3330095.43</v>
      </c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</row>
    <row r="29" spans="2:40" x14ac:dyDescent="0.25">
      <c r="D29" s="204">
        <f>K28-D28</f>
        <v>0</v>
      </c>
      <c r="E29" s="204">
        <f>M28-E28</f>
        <v>0</v>
      </c>
      <c r="F29" s="204"/>
      <c r="G29" s="204"/>
      <c r="K29" s="204"/>
      <c r="L29" s="204"/>
      <c r="M29" s="204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</row>
    <row r="30" spans="2:40" x14ac:dyDescent="0.25"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</row>
    <row r="31" spans="2:40" x14ac:dyDescent="0.25"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</row>
    <row r="32" spans="2:40" x14ac:dyDescent="0.25"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</row>
    <row r="33" spans="17:40" x14ac:dyDescent="0.25"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</row>
    <row r="34" spans="17:40" x14ac:dyDescent="0.25"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</row>
    <row r="35" spans="17:40" x14ac:dyDescent="0.25"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</row>
    <row r="36" spans="17:40" x14ac:dyDescent="0.25"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</row>
    <row r="37" spans="17:40" x14ac:dyDescent="0.25"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</row>
    <row r="38" spans="17:40" x14ac:dyDescent="0.25"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</row>
    <row r="39" spans="17:40" x14ac:dyDescent="0.25"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</row>
    <row r="40" spans="17:40" x14ac:dyDescent="0.25"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</row>
    <row r="41" spans="17:40" x14ac:dyDescent="0.25"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</row>
    <row r="42" spans="17:40" x14ac:dyDescent="0.25"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</row>
    <row r="43" spans="17:40" x14ac:dyDescent="0.25"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</row>
    <row r="44" spans="17:40" x14ac:dyDescent="0.25"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</row>
    <row r="45" spans="17:40" x14ac:dyDescent="0.25"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</row>
    <row r="46" spans="17:40" x14ac:dyDescent="0.25"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</row>
    <row r="47" spans="17:40" x14ac:dyDescent="0.25"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</row>
    <row r="48" spans="17:40" x14ac:dyDescent="0.25"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</row>
    <row r="49" spans="17:40" x14ac:dyDescent="0.25"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</row>
    <row r="50" spans="17:40" x14ac:dyDescent="0.25"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</row>
    <row r="51" spans="17:40" x14ac:dyDescent="0.25"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</row>
    <row r="52" spans="17:40" x14ac:dyDescent="0.25"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</row>
    <row r="53" spans="17:40" x14ac:dyDescent="0.25"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</row>
    <row r="54" spans="17:40" x14ac:dyDescent="0.25"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</row>
    <row r="55" spans="17:40" x14ac:dyDescent="0.25"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</row>
    <row r="56" spans="17:40" x14ac:dyDescent="0.25"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</row>
    <row r="57" spans="17:40" x14ac:dyDescent="0.25"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</row>
    <row r="58" spans="17:40" x14ac:dyDescent="0.25"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</row>
    <row r="59" spans="17:40" x14ac:dyDescent="0.25"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</row>
    <row r="60" spans="17:40" x14ac:dyDescent="0.25"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</row>
    <row r="61" spans="17:40" x14ac:dyDescent="0.25"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</row>
    <row r="62" spans="17:40" x14ac:dyDescent="0.25"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</row>
    <row r="63" spans="17:40" x14ac:dyDescent="0.25"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</row>
  </sheetData>
  <mergeCells count="32">
    <mergeCell ref="B25:C25"/>
    <mergeCell ref="I25:J25"/>
    <mergeCell ref="B20:N20"/>
    <mergeCell ref="B22:E22"/>
    <mergeCell ref="I22:N22"/>
    <mergeCell ref="B21:N21"/>
    <mergeCell ref="H22:H25"/>
    <mergeCell ref="B1:Q1"/>
    <mergeCell ref="I2:Q2"/>
    <mergeCell ref="K4:Q4"/>
    <mergeCell ref="B9:C9"/>
    <mergeCell ref="I9:J9"/>
    <mergeCell ref="H2:H11"/>
    <mergeCell ref="B3:B4"/>
    <mergeCell ref="C3:C4"/>
    <mergeCell ref="I3:I4"/>
    <mergeCell ref="J3:J4"/>
    <mergeCell ref="B2:G2"/>
    <mergeCell ref="Q8:Q25"/>
    <mergeCell ref="B12:P12"/>
    <mergeCell ref="B13:P13"/>
    <mergeCell ref="B14:G14"/>
    <mergeCell ref="I14:P14"/>
    <mergeCell ref="I19:J19"/>
    <mergeCell ref="B11:C11"/>
    <mergeCell ref="I11:J11"/>
    <mergeCell ref="B18:C18"/>
    <mergeCell ref="D4:G4"/>
    <mergeCell ref="I10:P10"/>
    <mergeCell ref="B10:C10"/>
    <mergeCell ref="H14:H19"/>
    <mergeCell ref="B19:C19"/>
  </mergeCells>
  <conditionalFormatting sqref="B18 D18:E18 I10 I11:N11 I9:N9 B19:E19 I25:N25 I19:N19 B20:N22 J17:L18 I17 I15:L16 B1:B2 H2:I2 B9:E11 B12:B14 H14:I14 B15:D17 B25:E25 I5:L8 N5:N8 N15:N18 I23:L24 N23:N24 B23:D24 B5:D8">
    <cfRule type="containsBlanks" dxfId="402" priority="28">
      <formula>LEN(TRIM(B1))=0</formula>
    </cfRule>
  </conditionalFormatting>
  <conditionalFormatting sqref="B4:G4 B3:C3">
    <cfRule type="containsBlanks" dxfId="401" priority="20" stopIfTrue="1">
      <formula>LEN(TRIM(B3))=0</formula>
    </cfRule>
  </conditionalFormatting>
  <conditionalFormatting sqref="I4:K4 I3:J3">
    <cfRule type="containsBlanks" dxfId="400" priority="19" stopIfTrue="1">
      <formula>LEN(TRIM(I3))=0</formula>
    </cfRule>
  </conditionalFormatting>
  <conditionalFormatting sqref="D3:E3 G3">
    <cfRule type="containsBlanks" dxfId="399" priority="18" stopIfTrue="1">
      <formula>LEN(TRIM(D3))=0</formula>
    </cfRule>
  </conditionalFormatting>
  <conditionalFormatting sqref="F3">
    <cfRule type="containsBlanks" dxfId="398" priority="17" stopIfTrue="1">
      <formula>LEN(TRIM(F3))=0</formula>
    </cfRule>
  </conditionalFormatting>
  <conditionalFormatting sqref="K3:N3 P3">
    <cfRule type="containsBlanks" dxfId="397" priority="16" stopIfTrue="1">
      <formula>LEN(TRIM(K3))=0</formula>
    </cfRule>
  </conditionalFormatting>
  <conditionalFormatting sqref="O3">
    <cfRule type="containsBlanks" dxfId="396" priority="15" stopIfTrue="1">
      <formula>LEN(TRIM(O3))=0</formula>
    </cfRule>
  </conditionalFormatting>
  <conditionalFormatting sqref="F5:G11">
    <cfRule type="containsBlanks" dxfId="395" priority="14" stopIfTrue="1">
      <formula>LEN(TRIM(F5))=0</formula>
    </cfRule>
  </conditionalFormatting>
  <conditionalFormatting sqref="O5:P9 O11:P11">
    <cfRule type="containsBlanks" dxfId="394" priority="13" stopIfTrue="1">
      <formula>LEN(TRIM(O5))=0</formula>
    </cfRule>
  </conditionalFormatting>
  <conditionalFormatting sqref="F15:G19">
    <cfRule type="containsBlanks" dxfId="393" priority="12" stopIfTrue="1">
      <formula>LEN(TRIM(F15))=0</formula>
    </cfRule>
  </conditionalFormatting>
  <conditionalFormatting sqref="O15:P19">
    <cfRule type="containsBlanks" dxfId="392" priority="11" stopIfTrue="1">
      <formula>LEN(TRIM(O15))=0</formula>
    </cfRule>
  </conditionalFormatting>
  <conditionalFormatting sqref="F23:G25">
    <cfRule type="containsBlanks" dxfId="391" priority="10" stopIfTrue="1">
      <formula>LEN(TRIM(F23))=0</formula>
    </cfRule>
  </conditionalFormatting>
  <conditionalFormatting sqref="O23:P25">
    <cfRule type="containsBlanks" dxfId="390" priority="9" stopIfTrue="1">
      <formula>LEN(TRIM(O23))=0</formula>
    </cfRule>
  </conditionalFormatting>
  <conditionalFormatting sqref="M5:M8">
    <cfRule type="containsBlanks" dxfId="389" priority="8">
      <formula>LEN(TRIM(M5))=0</formula>
    </cfRule>
  </conditionalFormatting>
  <conditionalFormatting sqref="M15:M18">
    <cfRule type="containsBlanks" dxfId="388" priority="7">
      <formula>LEN(TRIM(M15))=0</formula>
    </cfRule>
  </conditionalFormatting>
  <conditionalFormatting sqref="M23:M24">
    <cfRule type="containsBlanks" dxfId="387" priority="6">
      <formula>LEN(TRIM(M23))=0</formula>
    </cfRule>
  </conditionalFormatting>
  <conditionalFormatting sqref="E23:E24">
    <cfRule type="containsBlanks" dxfId="386" priority="5">
      <formula>LEN(TRIM(E23))=0</formula>
    </cfRule>
  </conditionalFormatting>
  <conditionalFormatting sqref="E15:E17">
    <cfRule type="containsBlanks" dxfId="385" priority="4">
      <formula>LEN(TRIM(E15))=0</formula>
    </cfRule>
  </conditionalFormatting>
  <conditionalFormatting sqref="E5:E8">
    <cfRule type="containsBlanks" dxfId="384" priority="3">
      <formula>LEN(TRIM(E5))=0</formula>
    </cfRule>
  </conditionalFormatting>
  <conditionalFormatting sqref="Q3">
    <cfRule type="containsBlanks" dxfId="383" priority="2" stopIfTrue="1">
      <formula>LEN(TRIM(Q3))=0</formula>
    </cfRule>
  </conditionalFormatting>
  <conditionalFormatting sqref="Q6:Q7">
    <cfRule type="containsBlanks" dxfId="382" priority="1" stopIfTrue="1">
      <formula>LEN(TRIM(Q6))=0</formula>
    </cfRule>
  </conditionalFormatting>
  <pageMargins left="0" right="0.59055118110236227" top="2.0078740157480315" bottom="0.59055118110236227" header="0.11811023622047245" footer="0.11811023622047245"/>
  <pageSetup paperSize="9" scale="63" fitToWidth="0" fitToHeight="0" orientation="landscape" r:id="rId1"/>
  <headerFooter>
    <oddHeader>&amp;C&amp;"Andalus,Bold"&amp;16جامعة آل البيت
&amp;12&amp;G</oddHeader>
    <oddFooter>&amp;L&amp;"Andalus,Bold"&amp;10إعداد دائرة الشؤون المالية/ شعبة الموازنة&amp;C&amp;N&amp;R&amp;"Andalus,Bold"&amp;10الحساب الختامي/ جامعة آل البيت للسنة المنتهية 2020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3CCFF"/>
  </sheetPr>
  <dimension ref="B1:F35"/>
  <sheetViews>
    <sheetView rightToLeft="1" zoomScaleNormal="100" workbookViewId="0">
      <pane ySplit="3" topLeftCell="A4" activePane="bottomLeft" state="frozen"/>
      <selection activeCell="B16" sqref="B16:J18"/>
      <selection pane="bottomLeft" activeCell="F32" sqref="B1:F32"/>
    </sheetView>
  </sheetViews>
  <sheetFormatPr defaultRowHeight="14.25" x14ac:dyDescent="0.2"/>
  <cols>
    <col min="1" max="1" width="1.625" customWidth="1"/>
    <col min="2" max="2" width="52.75" style="17" bestFit="1" customWidth="1"/>
    <col min="3" max="4" width="9.875" style="17" bestFit="1" customWidth="1"/>
    <col min="5" max="6" width="9" style="206"/>
    <col min="7" max="7" width="9.875" customWidth="1"/>
  </cols>
  <sheetData>
    <row r="1" spans="2:6" s="85" customFormat="1" ht="12.75" x14ac:dyDescent="0.2">
      <c r="B1" s="311" t="s">
        <v>814</v>
      </c>
      <c r="C1" s="311"/>
      <c r="D1" s="311"/>
      <c r="E1" s="311"/>
      <c r="F1" s="311"/>
    </row>
    <row r="2" spans="2:6" s="86" customFormat="1" ht="25.5" x14ac:dyDescent="0.2">
      <c r="B2" s="314" t="str">
        <f>'ن-باب'!B2:B2</f>
        <v>الباب/ الفصول المدرجة تحت الباب</v>
      </c>
      <c r="C2" s="191" t="s">
        <v>520</v>
      </c>
      <c r="D2" s="191" t="s">
        <v>522</v>
      </c>
      <c r="E2" s="190" t="s">
        <v>816</v>
      </c>
      <c r="F2" s="190" t="s">
        <v>805</v>
      </c>
    </row>
    <row r="3" spans="2:6" s="86" customFormat="1" ht="12.75" x14ac:dyDescent="0.2">
      <c r="B3" s="314"/>
      <c r="C3" s="310">
        <v>2020</v>
      </c>
      <c r="D3" s="310"/>
      <c r="E3" s="310"/>
      <c r="F3" s="310"/>
    </row>
    <row r="4" spans="2:6" x14ac:dyDescent="0.2">
      <c r="B4" s="313" t="str">
        <f>'ر-فرعي'!B4:G4</f>
        <v>الباب الأول: الرسوم الجامعية</v>
      </c>
      <c r="C4" s="313"/>
      <c r="D4" s="313"/>
      <c r="E4" s="313"/>
      <c r="F4" s="313"/>
    </row>
    <row r="5" spans="2:6" x14ac:dyDescent="0.2">
      <c r="B5" s="91" t="str">
        <f>'ر-فرعي'!B5:G5</f>
        <v>الفصل الأول: الرسوم الجامعية</v>
      </c>
      <c r="C5" s="12">
        <f>IF('ر-فصل'!D13&gt;0,'ر-فصل'!D13,"")</f>
        <v>21233550</v>
      </c>
      <c r="D5" s="177">
        <f>IF('ر-فصل'!E13&gt;0,'ر-فصل'!E13,"")</f>
        <v>19266506.261999998</v>
      </c>
      <c r="E5" s="167">
        <f>IFERROR(D5/C5,"")</f>
        <v>0.90736152277880988</v>
      </c>
      <c r="F5" s="168">
        <f>IFERROR(D5/$D$21,"")</f>
        <v>0.69612949150196335</v>
      </c>
    </row>
    <row r="6" spans="2:6" s="37" customFormat="1" x14ac:dyDescent="0.2">
      <c r="B6" s="285" t="str">
        <f>'ر-فرعي'!B69:E69</f>
        <v>مجموع الباب الأول: الرسوم الجامعية</v>
      </c>
      <c r="C6" s="108">
        <f>SUM(C5)</f>
        <v>21233550</v>
      </c>
      <c r="D6" s="108">
        <f t="shared" ref="D6" si="0">SUM(D5)</f>
        <v>19266506.261999998</v>
      </c>
      <c r="E6" s="167">
        <f>IFERROR(D6/C6,"")</f>
        <v>0.90736152277880988</v>
      </c>
      <c r="F6" s="168">
        <f>IFERROR(D6/$D$21,"")</f>
        <v>0.69612949150196335</v>
      </c>
    </row>
    <row r="7" spans="2:6" x14ac:dyDescent="0.2">
      <c r="B7" s="309" t="str">
        <f>'ر-فرعي'!B70:G70</f>
        <v>الباب الثاني: الدعم الحكومي</v>
      </c>
      <c r="C7" s="309"/>
      <c r="D7" s="309"/>
      <c r="E7" s="309"/>
      <c r="F7" s="309"/>
    </row>
    <row r="8" spans="2:6" x14ac:dyDescent="0.2">
      <c r="B8" s="91" t="str">
        <f>'ر-فرعي'!B71:G71</f>
        <v>الفصل الأول: الدعم الحكومي</v>
      </c>
      <c r="C8" s="12">
        <f>IF('ر-فصل'!D16&gt;0,'ر-فصل'!D16,"")</f>
        <v>7600000</v>
      </c>
      <c r="D8" s="177">
        <f>IF('ر-فصل'!E16&gt;0,'ر-فصل'!E16,"")</f>
        <v>7356033</v>
      </c>
      <c r="E8" s="167">
        <f>IFERROR(D8/C8,"")</f>
        <v>0.96789907894736837</v>
      </c>
      <c r="F8" s="168">
        <f>IFERROR(D8/$D$21,"")</f>
        <v>0.26578516323229284</v>
      </c>
    </row>
    <row r="9" spans="2:6" x14ac:dyDescent="0.2">
      <c r="B9" s="285" t="str">
        <f>'ر-فرعي'!B76:E76</f>
        <v>مجموع الباب الثاني: الدعم الحكومي</v>
      </c>
      <c r="C9" s="52">
        <f>SUM(C8)</f>
        <v>7600000</v>
      </c>
      <c r="D9" s="52">
        <f>SUM(D8)</f>
        <v>7356033</v>
      </c>
      <c r="E9" s="167">
        <f>IFERROR(D9/C9,"")</f>
        <v>0.96789907894736837</v>
      </c>
      <c r="F9" s="168">
        <f>IFERROR(D9/$D$21,"")</f>
        <v>0.26578516323229284</v>
      </c>
    </row>
    <row r="10" spans="2:6" s="37" customFormat="1" x14ac:dyDescent="0.2">
      <c r="B10" s="313" t="str">
        <f>'ر-فرعي'!B77:G77</f>
        <v>الباب الثالث: الإيرادات الذاتية الأخرى</v>
      </c>
      <c r="C10" s="313"/>
      <c r="D10" s="313"/>
      <c r="E10" s="313"/>
      <c r="F10" s="313"/>
    </row>
    <row r="11" spans="2:6" x14ac:dyDescent="0.2">
      <c r="B11" s="91" t="str">
        <f>'ر-فرعي'!B78:G78</f>
        <v>الفصل الأول: ريع الأموال المنقولة وغير المنقولة</v>
      </c>
      <c r="C11" s="12">
        <f>IF('ر-فصل'!D22&gt;0,'ر-فصل'!D22,"")</f>
        <v>660300</v>
      </c>
      <c r="D11" s="177">
        <f>IF('ر-فصل'!E22&gt;0,'ر-فصل'!E22,"")</f>
        <v>267061.67200000002</v>
      </c>
      <c r="E11" s="167">
        <f>IFERROR(D11/C11,"")</f>
        <v>0.40445505376344087</v>
      </c>
      <c r="F11" s="168">
        <f>IFERROR(D11/$D$21,"")</f>
        <v>9.6493626504406734E-3</v>
      </c>
    </row>
    <row r="12" spans="2:6" x14ac:dyDescent="0.2">
      <c r="B12" s="91" t="str">
        <f>'ر-فرعي'!B104:G104</f>
        <v xml:space="preserve">الفصل الثاني: إيرادات متنوعة ومراكز علمية وسنين سابقة </v>
      </c>
      <c r="C12" s="12">
        <f>IF('ر-فصل'!D27&gt;0,'ر-فصل'!D27,"")</f>
        <v>841150</v>
      </c>
      <c r="D12" s="177">
        <f>IF('ر-فصل'!E27&gt;0,'ر-فصل'!E27,"")</f>
        <v>652485.94500000007</v>
      </c>
      <c r="E12" s="167">
        <f>IFERROR(D12/C12,"")</f>
        <v>0.77570700231825485</v>
      </c>
      <c r="F12" s="168">
        <f>IFERROR(D12/$D$21,"")</f>
        <v>2.3575354188677768E-2</v>
      </c>
    </row>
    <row r="13" spans="2:6" x14ac:dyDescent="0.2">
      <c r="B13" s="285" t="str">
        <f>'ر-فرعي'!B136:E136</f>
        <v>مجموع الباب الثالث: الإيرادات الذاتية الأخرى</v>
      </c>
      <c r="C13" s="52">
        <f>SUM(C11:C12)</f>
        <v>1501450</v>
      </c>
      <c r="D13" s="52">
        <f t="shared" ref="D13" si="1">SUM(D11:D12)</f>
        <v>919547.61700000009</v>
      </c>
      <c r="E13" s="167">
        <f>IFERROR(D13/C13,"")</f>
        <v>0.61243971960438248</v>
      </c>
      <c r="F13" s="168">
        <f>IFERROR(D13/$D$21,"")</f>
        <v>3.3224716839118443E-2</v>
      </c>
    </row>
    <row r="14" spans="2:6" x14ac:dyDescent="0.2">
      <c r="B14" s="309" t="str">
        <f>'ر-فرعي'!B137:G137</f>
        <v>الباب الرابع: التبرعات والمنح والهبات</v>
      </c>
      <c r="C14" s="309"/>
      <c r="D14" s="309"/>
      <c r="E14" s="309"/>
      <c r="F14" s="309"/>
    </row>
    <row r="15" spans="2:6" x14ac:dyDescent="0.2">
      <c r="B15" s="91" t="str">
        <f>'ر-فرعي'!B138:G138</f>
        <v>الفصل الأول: التبرعات والمنح والهبات</v>
      </c>
      <c r="C15" s="12">
        <f>IF('ر-فصل'!D30&gt;0,'ر-فصل'!D30,"")</f>
        <v>75000</v>
      </c>
      <c r="D15" s="177">
        <f>IF('ر-فصل'!E30&gt;0,'ر-فصل'!E30,"")</f>
        <v>27000</v>
      </c>
      <c r="E15" s="167">
        <f>IFERROR(D15/C15,"")</f>
        <v>0.36</v>
      </c>
      <c r="F15" s="168">
        <f>IFERROR(D15/$D$21,"")</f>
        <v>9.7555291109649824E-4</v>
      </c>
    </row>
    <row r="16" spans="2:6" x14ac:dyDescent="0.2">
      <c r="B16" s="285" t="str">
        <f>'ر-فرعي'!B144:E144</f>
        <v>مجموع الباب الرابع: التبرعات والمنح والهبات</v>
      </c>
      <c r="C16" s="52">
        <f>SUM(C15)</f>
        <v>75000</v>
      </c>
      <c r="D16" s="52">
        <f>SUM(D15)</f>
        <v>27000</v>
      </c>
      <c r="E16" s="167">
        <f>IFERROR(D16/C16,"")</f>
        <v>0.36</v>
      </c>
      <c r="F16" s="168">
        <f>IFERROR(D16/$D$21,"")</f>
        <v>9.7555291109649824E-4</v>
      </c>
    </row>
    <row r="17" spans="2:6" x14ac:dyDescent="0.2">
      <c r="B17" s="286" t="str">
        <f>'ر-فرعي'!B145:E145</f>
        <v>المجموع العام للإيرادات قبل العجز</v>
      </c>
      <c r="C17" s="81">
        <f>C6+C13+C9+C16</f>
        <v>30410000</v>
      </c>
      <c r="D17" s="81">
        <f>D6+D13+D9+D16</f>
        <v>27569086.878999997</v>
      </c>
      <c r="E17" s="167">
        <f>IFERROR(D17/C17,"")</f>
        <v>0.90657964087471221</v>
      </c>
      <c r="F17" s="168">
        <f>IFERROR(D17/$D$21,"")</f>
        <v>0.99611492448447114</v>
      </c>
    </row>
    <row r="18" spans="2:6" s="1" customFormat="1" x14ac:dyDescent="0.2">
      <c r="B18" s="312" t="str">
        <f>'ر-فرعي'!B146:G146</f>
        <v>العجز</v>
      </c>
      <c r="C18" s="312"/>
      <c r="D18" s="312"/>
      <c r="E18" s="312"/>
      <c r="F18" s="312"/>
    </row>
    <row r="19" spans="2:6" x14ac:dyDescent="0.2">
      <c r="B19" s="4" t="str">
        <f>'ر-فصل'!C34</f>
        <v>العجز</v>
      </c>
      <c r="C19" s="92">
        <f>'ر-فصل'!D34</f>
        <v>5314000</v>
      </c>
      <c r="D19" s="177">
        <f>'ر-فصل'!E34</f>
        <v>107525.73000000417</v>
      </c>
      <c r="E19" s="167">
        <f>IFERROR(D19/C19,"")</f>
        <v>2.0234424162590171E-2</v>
      </c>
      <c r="F19" s="168">
        <f>IFERROR(D19/$D$21,"")</f>
        <v>3.8850755155288943E-3</v>
      </c>
    </row>
    <row r="20" spans="2:6" x14ac:dyDescent="0.2">
      <c r="B20" s="287" t="str">
        <f>'ر-فرعي'!B149:E149</f>
        <v>المجموع العام للعجز المقدر بالموازنة</v>
      </c>
      <c r="C20" s="68">
        <f>SUM(C19:C19)</f>
        <v>5314000</v>
      </c>
      <c r="D20" s="68">
        <f>SUM(D19)</f>
        <v>107525.73000000417</v>
      </c>
      <c r="E20" s="167">
        <f>IFERROR(D20/C20,"")</f>
        <v>2.0234424162590171E-2</v>
      </c>
      <c r="F20" s="168">
        <f>IFERROR(D20/$D$21,"")</f>
        <v>3.8850755155288943E-3</v>
      </c>
    </row>
    <row r="21" spans="2:6" s="37" customFormat="1" x14ac:dyDescent="0.2">
      <c r="B21" s="283" t="s">
        <v>524</v>
      </c>
      <c r="C21" s="100">
        <f>C17+C20</f>
        <v>35724000</v>
      </c>
      <c r="D21" s="100">
        <f t="shared" ref="D21" si="2">D17+D20</f>
        <v>27676612.609000001</v>
      </c>
      <c r="E21" s="167">
        <f>IFERROR(D21/C21,"")</f>
        <v>0.77473442528832159</v>
      </c>
      <c r="F21" s="168">
        <f>IFERROR(D21/$C$21,"")</f>
        <v>0.77473442528832159</v>
      </c>
    </row>
    <row r="22" spans="2:6" s="37" customFormat="1" x14ac:dyDescent="0.2">
      <c r="B22" s="308"/>
      <c r="C22" s="308"/>
      <c r="D22" s="308"/>
      <c r="E22" s="205"/>
      <c r="F22" s="205"/>
    </row>
    <row r="23" spans="2:6" s="37" customFormat="1" x14ac:dyDescent="0.2">
      <c r="B23" s="282" t="s">
        <v>516</v>
      </c>
      <c r="C23" s="310">
        <v>2020</v>
      </c>
      <c r="D23" s="310"/>
      <c r="E23" s="310"/>
      <c r="F23" s="310"/>
    </row>
    <row r="24" spans="2:6" s="37" customFormat="1" x14ac:dyDescent="0.2">
      <c r="B24" s="309" t="str">
        <f>'ر-فرعي'!B154:G154</f>
        <v>الباب الأول: المصادر (مصادر التمويل)</v>
      </c>
      <c r="C24" s="309"/>
      <c r="D24" s="309"/>
      <c r="E24" s="309"/>
      <c r="F24" s="309"/>
    </row>
    <row r="25" spans="2:6" s="37" customFormat="1" x14ac:dyDescent="0.2">
      <c r="B25" s="91" t="str">
        <f>'ر-فرعي'!B155:G155</f>
        <v>قروض وتسهيلات بنكية وسلفة وزارة المالية وعجز موازنة التمويل</v>
      </c>
      <c r="C25" s="96">
        <f>IF('ر-فصل'!D42&gt;0,'ر-فصل'!D42,"")</f>
        <v>23090000</v>
      </c>
      <c r="D25" s="177">
        <f>IF('ر-فصل'!E42&gt;0,'ر-فصل'!E42,"")</f>
        <v>15483007.605000004</v>
      </c>
      <c r="E25" s="167">
        <f>IFERROR(D25/C25,"")</f>
        <v>0.67055035101775684</v>
      </c>
      <c r="F25" s="168">
        <f>IFERROR(D25/$C$26,"")</f>
        <v>0.67055035101775684</v>
      </c>
    </row>
    <row r="26" spans="2:6" s="37" customFormat="1" x14ac:dyDescent="0.2">
      <c r="B26" s="284" t="str">
        <f>'ر-فرعي'!B162:E162</f>
        <v>المجموع العام لموازنة التمويل</v>
      </c>
      <c r="C26" s="64">
        <f>SUM(C25:C25)</f>
        <v>23090000</v>
      </c>
      <c r="D26" s="64">
        <f>SUM(D25:D25)</f>
        <v>15483007.605000004</v>
      </c>
      <c r="E26" s="167">
        <f>IFERROR(D26/C26,"")</f>
        <v>0.67055035101775684</v>
      </c>
      <c r="F26" s="168">
        <f>IFERROR(D26/$C$26,"")</f>
        <v>0.67055035101775684</v>
      </c>
    </row>
    <row r="27" spans="2:6" x14ac:dyDescent="0.2">
      <c r="B27" s="307" t="str">
        <f>IFERROR(#REF!/C27,"")</f>
        <v/>
      </c>
      <c r="C27" s="307"/>
      <c r="D27" s="307"/>
      <c r="E27" s="205"/>
      <c r="F27" s="205"/>
    </row>
    <row r="28" spans="2:6" x14ac:dyDescent="0.2">
      <c r="B28" s="282" t="s">
        <v>528</v>
      </c>
      <c r="C28" s="310">
        <v>2020</v>
      </c>
      <c r="D28" s="310"/>
      <c r="E28" s="310"/>
      <c r="F28" s="310"/>
    </row>
    <row r="29" spans="2:6" x14ac:dyDescent="0.2">
      <c r="B29" s="309" t="str">
        <f>'ر-فرعي'!B165:G165</f>
        <v>الباب الأول: إيرادات الحسابات النظامية</v>
      </c>
      <c r="C29" s="309"/>
      <c r="D29" s="309"/>
      <c r="E29" s="309"/>
      <c r="F29" s="309"/>
    </row>
    <row r="30" spans="2:6" x14ac:dyDescent="0.2">
      <c r="B30" s="91" t="str">
        <f>'ر-فرعي'!B166:G166</f>
        <v>الفصل الأول: إيرادات مشاريع وأجهزة وتجهيزات مشروطة بالتمويل</v>
      </c>
      <c r="C30" s="12">
        <f>IF('ر-فصل'!D47&gt;0,'ر-فصل'!D47,"")</f>
        <v>8500000</v>
      </c>
      <c r="D30" s="177">
        <f>IF('ر-فصل'!E47&gt;0,'ر-فصل'!E47,"")</f>
        <v>337729</v>
      </c>
      <c r="E30" s="167">
        <f>IFERROR(D30/C30,"")</f>
        <v>3.9732823529411765E-2</v>
      </c>
      <c r="F30" s="168">
        <f>IFERROR(D30/$C$30,"")</f>
        <v>3.9732823529411765E-2</v>
      </c>
    </row>
    <row r="31" spans="2:6" x14ac:dyDescent="0.2">
      <c r="B31" s="91" t="str">
        <f>'ر-فرعي'!B188:G188</f>
        <v>الفصل الثاني: إيرادات الرسوم الجامعية التي تتحملها الجامعة (إيرادات غير نقدية)</v>
      </c>
      <c r="C31" s="12">
        <f>IF('ر-فصل'!D48&gt;0,'ر-فصل'!D48,"")</f>
        <v>1500000</v>
      </c>
      <c r="D31" s="177">
        <f>IF('ر-فصل'!E48&gt;0,'ر-فصل'!E48,"")</f>
        <v>2165985.6</v>
      </c>
      <c r="E31" s="167">
        <f t="shared" ref="E31:E32" si="3">IFERROR(D31/C31,"")</f>
        <v>1.4439904000000001</v>
      </c>
      <c r="F31" s="168">
        <f>IFERROR(D31/$C$31,"")</f>
        <v>1.4439904000000001</v>
      </c>
    </row>
    <row r="32" spans="2:6" x14ac:dyDescent="0.2">
      <c r="B32" s="188" t="s">
        <v>561</v>
      </c>
      <c r="C32" s="50">
        <f>SUM(C30:C31)</f>
        <v>10000000</v>
      </c>
      <c r="D32" s="50">
        <f t="shared" ref="D32" si="4">SUM(D30:D31)</f>
        <v>2503714.6</v>
      </c>
      <c r="E32" s="167">
        <f t="shared" si="3"/>
        <v>0.25037145999999999</v>
      </c>
      <c r="F32" s="168">
        <f>IFERROR(D32/$C$32,"")</f>
        <v>0.25037145999999999</v>
      </c>
    </row>
    <row r="34" spans="3:4" x14ac:dyDescent="0.2">
      <c r="C34" s="89">
        <f>C21+C26+C32</f>
        <v>68814000</v>
      </c>
      <c r="D34" s="89">
        <f>D21+D26+D32</f>
        <v>45663334.814000003</v>
      </c>
    </row>
    <row r="35" spans="3:4" x14ac:dyDescent="0.2">
      <c r="C35" s="89">
        <f>'ر-فصل'!D52-'ر-باب'!C34</f>
        <v>0</v>
      </c>
      <c r="D35" s="89">
        <f>'ر-فصل'!E52-'ر-باب'!D34</f>
        <v>0</v>
      </c>
    </row>
  </sheetData>
  <mergeCells count="14">
    <mergeCell ref="B1:F1"/>
    <mergeCell ref="B18:F18"/>
    <mergeCell ref="B14:F14"/>
    <mergeCell ref="B10:F10"/>
    <mergeCell ref="B7:F7"/>
    <mergeCell ref="B4:F4"/>
    <mergeCell ref="B2:B3"/>
    <mergeCell ref="C3:F3"/>
    <mergeCell ref="B27:D27"/>
    <mergeCell ref="B22:D22"/>
    <mergeCell ref="B24:F24"/>
    <mergeCell ref="B29:F29"/>
    <mergeCell ref="C28:F28"/>
    <mergeCell ref="C23:F23"/>
  </mergeCells>
  <conditionalFormatting sqref="B6:D6 B20:D22 B18 B16:D17 B14 B13:D13 B10 B9:D9 B7 B1:B4 B26:D27 B32:D32 B28:B29 B23:B24 B5:C5 B8:C8 B11:C12 B15:C15 B19:C19 B25:C25 B30:C31">
    <cfRule type="containsBlanks" dxfId="381" priority="28">
      <formula>LEN(TRIM(B1))=0</formula>
    </cfRule>
  </conditionalFormatting>
  <conditionalFormatting sqref="C3:F3 C2:D2 F2">
    <cfRule type="containsBlanks" dxfId="380" priority="27" stopIfTrue="1">
      <formula>LEN(TRIM(C2))=0</formula>
    </cfRule>
  </conditionalFormatting>
  <conditionalFormatting sqref="E5:F5">
    <cfRule type="containsBlanks" dxfId="379" priority="26" stopIfTrue="1">
      <formula>LEN(TRIM(E5))=0</formula>
    </cfRule>
  </conditionalFormatting>
  <conditionalFormatting sqref="E6:F6">
    <cfRule type="containsBlanks" dxfId="378" priority="25" stopIfTrue="1">
      <formula>LEN(TRIM(E6))=0</formula>
    </cfRule>
  </conditionalFormatting>
  <conditionalFormatting sqref="E8:F8">
    <cfRule type="containsBlanks" dxfId="377" priority="24" stopIfTrue="1">
      <formula>LEN(TRIM(E8))=0</formula>
    </cfRule>
  </conditionalFormatting>
  <conditionalFormatting sqref="E9:F9">
    <cfRule type="containsBlanks" dxfId="376" priority="23" stopIfTrue="1">
      <formula>LEN(TRIM(E9))=0</formula>
    </cfRule>
  </conditionalFormatting>
  <conditionalFormatting sqref="E11:F11">
    <cfRule type="containsBlanks" dxfId="375" priority="22" stopIfTrue="1">
      <formula>LEN(TRIM(E11))=0</formula>
    </cfRule>
  </conditionalFormatting>
  <conditionalFormatting sqref="E12:F12">
    <cfRule type="containsBlanks" dxfId="374" priority="21" stopIfTrue="1">
      <formula>LEN(TRIM(E12))=0</formula>
    </cfRule>
  </conditionalFormatting>
  <conditionalFormatting sqref="E13:F13">
    <cfRule type="containsBlanks" dxfId="373" priority="20" stopIfTrue="1">
      <formula>LEN(TRIM(E13))=0</formula>
    </cfRule>
  </conditionalFormatting>
  <conditionalFormatting sqref="E15:F15">
    <cfRule type="containsBlanks" dxfId="372" priority="19" stopIfTrue="1">
      <formula>LEN(TRIM(E15))=0</formula>
    </cfRule>
  </conditionalFormatting>
  <conditionalFormatting sqref="E16:F16">
    <cfRule type="containsBlanks" dxfId="371" priority="18" stopIfTrue="1">
      <formula>LEN(TRIM(E16))=0</formula>
    </cfRule>
  </conditionalFormatting>
  <conditionalFormatting sqref="E17:F17">
    <cfRule type="containsBlanks" dxfId="370" priority="17" stopIfTrue="1">
      <formula>LEN(TRIM(E17))=0</formula>
    </cfRule>
  </conditionalFormatting>
  <conditionalFormatting sqref="E19:F19">
    <cfRule type="containsBlanks" dxfId="369" priority="16" stopIfTrue="1">
      <formula>LEN(TRIM(E19))=0</formula>
    </cfRule>
  </conditionalFormatting>
  <conditionalFormatting sqref="E20:F20">
    <cfRule type="containsBlanks" dxfId="368" priority="15" stopIfTrue="1">
      <formula>LEN(TRIM(E20))=0</formula>
    </cfRule>
  </conditionalFormatting>
  <conditionalFormatting sqref="E21:F21">
    <cfRule type="containsBlanks" dxfId="367" priority="14" stopIfTrue="1">
      <formula>LEN(TRIM(E21))=0</formula>
    </cfRule>
  </conditionalFormatting>
  <conditionalFormatting sqref="E25:F25 F26">
    <cfRule type="containsBlanks" dxfId="366" priority="13" stopIfTrue="1">
      <formula>LEN(TRIM(E25))=0</formula>
    </cfRule>
  </conditionalFormatting>
  <conditionalFormatting sqref="E26">
    <cfRule type="containsBlanks" dxfId="365" priority="12" stopIfTrue="1">
      <formula>LEN(TRIM(E26))=0</formula>
    </cfRule>
  </conditionalFormatting>
  <conditionalFormatting sqref="E30:F32">
    <cfRule type="containsBlanks" dxfId="364" priority="11" stopIfTrue="1">
      <formula>LEN(TRIM(E30))=0</formula>
    </cfRule>
  </conditionalFormatting>
  <conditionalFormatting sqref="C23:F23">
    <cfRule type="containsBlanks" dxfId="363" priority="10" stopIfTrue="1">
      <formula>LEN(TRIM(C23))=0</formula>
    </cfRule>
  </conditionalFormatting>
  <conditionalFormatting sqref="C28:F28">
    <cfRule type="containsBlanks" dxfId="362" priority="9" stopIfTrue="1">
      <formula>LEN(TRIM(C28))=0</formula>
    </cfRule>
  </conditionalFormatting>
  <conditionalFormatting sqref="D5">
    <cfRule type="containsBlanks" dxfId="361" priority="8">
      <formula>LEN(TRIM(D5))=0</formula>
    </cfRule>
  </conditionalFormatting>
  <conditionalFormatting sqref="D8">
    <cfRule type="containsBlanks" dxfId="360" priority="7">
      <formula>LEN(TRIM(D8))=0</formula>
    </cfRule>
  </conditionalFormatting>
  <conditionalFormatting sqref="D11:D12">
    <cfRule type="containsBlanks" dxfId="359" priority="6">
      <formula>LEN(TRIM(D11))=0</formula>
    </cfRule>
  </conditionalFormatting>
  <conditionalFormatting sqref="D15">
    <cfRule type="containsBlanks" dxfId="358" priority="5">
      <formula>LEN(TRIM(D15))=0</formula>
    </cfRule>
  </conditionalFormatting>
  <conditionalFormatting sqref="D19">
    <cfRule type="containsBlanks" dxfId="357" priority="4">
      <formula>LEN(TRIM(D19))=0</formula>
    </cfRule>
  </conditionalFormatting>
  <conditionalFormatting sqref="D25">
    <cfRule type="containsBlanks" dxfId="356" priority="3">
      <formula>LEN(TRIM(D25))=0</formula>
    </cfRule>
  </conditionalFormatting>
  <conditionalFormatting sqref="D30:D31">
    <cfRule type="containsBlanks" dxfId="355" priority="2">
      <formula>LEN(TRIM(D30))=0</formula>
    </cfRule>
  </conditionalFormatting>
  <conditionalFormatting sqref="E2">
    <cfRule type="containsBlanks" dxfId="354" priority="1" stopIfTrue="1">
      <formula>LEN(TRIM(E2))=0</formula>
    </cfRule>
  </conditionalFormatting>
  <pageMargins left="0.35433070866141736" right="0.59" top="0.74803149606299213" bottom="0.74803149606299213" header="0.31496062992125984" footer="0.31496062992125984"/>
  <pageSetup paperSize="9" scale="96" orientation="portrait" r:id="rId1"/>
  <headerFooter>
    <oddHeader>&amp;C&amp;"Andalus,Bold"&amp;14جامعة آل البيت</oddHeader>
    <oddFooter>&amp;L&amp;"Andalus,Bold"&amp;10إعداد دائرة الشؤون المالية/ شعبة الموازنة &amp;C&amp;P+1&amp;R&amp;"Andalus,Bold"&amp;10الحساب الختامية للسنة المنتهية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FF"/>
  </sheetPr>
  <dimension ref="B1:H49"/>
  <sheetViews>
    <sheetView rightToLeft="1" zoomScaleNormal="100" workbookViewId="0">
      <pane ySplit="3" topLeftCell="A4" activePane="bottomLeft" state="frozen"/>
      <selection activeCell="B16" sqref="B16:J18"/>
      <selection pane="bottomLeft" activeCell="H46" sqref="B1:H46"/>
    </sheetView>
  </sheetViews>
  <sheetFormatPr defaultRowHeight="14.25" x14ac:dyDescent="0.2"/>
  <cols>
    <col min="1" max="1" width="1.625" customWidth="1"/>
    <col min="2" max="2" width="51.375" style="2" bestFit="1" customWidth="1"/>
    <col min="3" max="3" width="9.875" style="2" bestFit="1" customWidth="1"/>
    <col min="4" max="4" width="9.875" style="44" bestFit="1" customWidth="1"/>
    <col min="5" max="5" width="9.875" style="2" bestFit="1" customWidth="1"/>
    <col min="6" max="6" width="8.875" style="2" bestFit="1" customWidth="1"/>
    <col min="7" max="8" width="9" style="206"/>
  </cols>
  <sheetData>
    <row r="1" spans="2:8" s="85" customFormat="1" ht="12.75" x14ac:dyDescent="0.2">
      <c r="B1" s="315" t="s">
        <v>813</v>
      </c>
      <c r="C1" s="315"/>
      <c r="D1" s="315"/>
      <c r="E1" s="315"/>
      <c r="F1" s="315"/>
      <c r="G1" s="315"/>
      <c r="H1" s="315"/>
    </row>
    <row r="2" spans="2:8" s="85" customFormat="1" ht="38.25" x14ac:dyDescent="0.2">
      <c r="B2" s="314" t="s">
        <v>429</v>
      </c>
      <c r="C2" s="192" t="s">
        <v>520</v>
      </c>
      <c r="D2" s="192" t="s">
        <v>521</v>
      </c>
      <c r="E2" s="192" t="s">
        <v>522</v>
      </c>
      <c r="F2" s="191" t="s">
        <v>523</v>
      </c>
      <c r="G2" s="190" t="s">
        <v>815</v>
      </c>
      <c r="H2" s="190" t="s">
        <v>805</v>
      </c>
    </row>
    <row r="3" spans="2:8" s="85" customFormat="1" ht="12.75" x14ac:dyDescent="0.2">
      <c r="B3" s="314"/>
      <c r="C3" s="310">
        <v>2020</v>
      </c>
      <c r="D3" s="310"/>
      <c r="E3" s="310"/>
      <c r="F3" s="310"/>
      <c r="G3" s="310"/>
      <c r="H3" s="310"/>
    </row>
    <row r="4" spans="2:8" x14ac:dyDescent="0.2">
      <c r="B4" s="313" t="str">
        <f>'ن-فرعي'!B4:I4</f>
        <v>الباب الأول: النفقات المتكررة</v>
      </c>
      <c r="C4" s="313"/>
      <c r="D4" s="313"/>
      <c r="E4" s="313"/>
      <c r="F4" s="313"/>
      <c r="G4" s="313"/>
      <c r="H4" s="313"/>
    </row>
    <row r="5" spans="2:8" x14ac:dyDescent="0.2">
      <c r="B5" s="91" t="str">
        <f>'ن-فرعي'!B5:I5</f>
        <v>الفصل الأول: الرواتب والعلاوات والمكافآت</v>
      </c>
      <c r="C5" s="12">
        <f>IF('ن-فصل'!D8&gt;0,'ن-فصل'!D8,"")</f>
        <v>22113775</v>
      </c>
      <c r="D5" s="73">
        <f>IF('ن-فصل'!E8&gt;0,'ن-فصل'!E8,"")</f>
        <v>22113775</v>
      </c>
      <c r="E5" s="177">
        <f>IF('ن-فصل'!F8&gt;0,'ن-فصل'!F8,"")</f>
        <v>20328971.589000002</v>
      </c>
      <c r="F5" s="12">
        <f>IF('ن-فصل'!G8&gt;0,'ن-فصل'!G8,"")</f>
        <v>59397.04</v>
      </c>
      <c r="G5" s="167">
        <f>IFERROR(E5/D5,"")</f>
        <v>0.91928997147705449</v>
      </c>
      <c r="H5" s="168">
        <f>IFERROR(E5/$D$35,"")</f>
        <v>0.56905642114544852</v>
      </c>
    </row>
    <row r="6" spans="2:8" x14ac:dyDescent="0.2">
      <c r="B6" s="91" t="str">
        <f>'ن-فرعي'!B33:I33</f>
        <v>الفصل الثاني: التعويضات والتأمينات للعاملين</v>
      </c>
      <c r="C6" s="12">
        <f>IF('ن-فصل'!D14&gt;0,'ن-فصل'!D14,"")</f>
        <v>4450000</v>
      </c>
      <c r="D6" s="73">
        <f>IF('ن-فصل'!E14&gt;0,'ن-فصل'!E14,"")</f>
        <v>4450000</v>
      </c>
      <c r="E6" s="177">
        <f>IF('ن-فصل'!F14&gt;0,'ن-فصل'!F14,"")</f>
        <v>3944942.6969999997</v>
      </c>
      <c r="F6" s="12" t="str">
        <f>IF('ن-فصل'!G14&gt;0,'ن-فصل'!G14,"")</f>
        <v/>
      </c>
      <c r="G6" s="167">
        <f t="shared" ref="G6:G35" si="0">IFERROR(E6/D6,"")</f>
        <v>0.88650397685393256</v>
      </c>
      <c r="H6" s="168">
        <f t="shared" ref="H6:H35" si="1">IFERROR(E6/$D$35,"")</f>
        <v>0.11042835900235135</v>
      </c>
    </row>
    <row r="7" spans="2:8" x14ac:dyDescent="0.2">
      <c r="B7" s="91" t="str">
        <f>'ن-فرعي'!B50:I50</f>
        <v>الفصل الثالث: اللوازم والمهمات والصيانة</v>
      </c>
      <c r="C7" s="12">
        <f>IF('ن-فصل'!D22&gt;0,'ن-فصل'!D22,"")</f>
        <v>635000</v>
      </c>
      <c r="D7" s="73">
        <f>IF('ن-فصل'!E22&gt;0,'ن-فصل'!E22,"")</f>
        <v>635000</v>
      </c>
      <c r="E7" s="177">
        <f>IF('ن-فصل'!F22&gt;0,'ن-فصل'!F22,"")</f>
        <v>53079.87000000001</v>
      </c>
      <c r="F7" s="12">
        <f>IF('ن-فصل'!G22&gt;0,'ن-فصل'!G22,"")</f>
        <v>286907.93600000005</v>
      </c>
      <c r="G7" s="167">
        <f t="shared" si="0"/>
        <v>8.3590346456692929E-2</v>
      </c>
      <c r="H7" s="168">
        <f t="shared" si="1"/>
        <v>1.4858322136378907E-3</v>
      </c>
    </row>
    <row r="8" spans="2:8" x14ac:dyDescent="0.2">
      <c r="B8" s="91" t="str">
        <f>'ن-فرعي'!B84:I84</f>
        <v>الفصل الرابع: دعم الصناديق والخدمات والنشاطات الطلابية</v>
      </c>
      <c r="C8" s="12">
        <f>IF('ن-فصل'!D31&gt;0,'ن-فصل'!D31,"")</f>
        <v>431000</v>
      </c>
      <c r="D8" s="73">
        <f>IF('ن-فصل'!E31&gt;0,'ن-فصل'!E31,"")</f>
        <v>431000</v>
      </c>
      <c r="E8" s="177">
        <f>IF('ن-فصل'!F31&gt;0,'ن-فصل'!F31,"")</f>
        <v>89217.076000000001</v>
      </c>
      <c r="F8" s="12">
        <f>IF('ن-فصل'!G31&gt;0,'ن-فصل'!G31,"")</f>
        <v>20395.75</v>
      </c>
      <c r="G8" s="167">
        <f t="shared" si="0"/>
        <v>0.20700017633410672</v>
      </c>
      <c r="H8" s="168">
        <f t="shared" si="1"/>
        <v>2.4973988355167396E-3</v>
      </c>
    </row>
    <row r="9" spans="2:8" x14ac:dyDescent="0.2">
      <c r="B9" s="91" t="str">
        <f>'ن-فرعي'!B115:I115</f>
        <v>الفصل الخامس: النفقات العامة المشتركة</v>
      </c>
      <c r="C9" s="12">
        <f>IF('ن-فصل'!D39&gt;0,'ن-فصل'!D39,"")</f>
        <v>1317725</v>
      </c>
      <c r="D9" s="73">
        <f>IF('ن-فصل'!E39&gt;0,'ن-فصل'!E39,"")</f>
        <v>1317725</v>
      </c>
      <c r="E9" s="177">
        <f>IF('ن-فصل'!F39&gt;0,'ن-فصل'!F39,"")</f>
        <v>390936.33599999989</v>
      </c>
      <c r="F9" s="12">
        <f>IF('ن-فصل'!G39&gt;0,'ن-فصل'!G39,"")</f>
        <v>514424.62</v>
      </c>
      <c r="G9" s="167">
        <f t="shared" si="0"/>
        <v>0.29667520613178006</v>
      </c>
      <c r="H9" s="168">
        <f t="shared" si="1"/>
        <v>1.0943240846489751E-2</v>
      </c>
    </row>
    <row r="10" spans="2:8" x14ac:dyDescent="0.2">
      <c r="B10" s="91" t="str">
        <f>'ن-فرعي'!B154:I154</f>
        <v>الفصل السادس: المساهمات</v>
      </c>
      <c r="C10" s="12">
        <f>IF('ن-فصل'!D43&gt;0,'ن-فصل'!D43,"")</f>
        <v>94500</v>
      </c>
      <c r="D10" s="73">
        <f>IF('ن-فصل'!E43&gt;0,'ن-فصل'!E43,"")</f>
        <v>94500</v>
      </c>
      <c r="E10" s="177">
        <f>IF('ن-فصل'!F43&gt;0,'ن-فصل'!F43,"")</f>
        <v>66534.523000000001</v>
      </c>
      <c r="F10" s="12" t="str">
        <f>IF('ن-فصل'!G43&gt;0,'ن-فصل'!G43,"")</f>
        <v/>
      </c>
      <c r="G10" s="167">
        <f t="shared" si="0"/>
        <v>0.70406902645502645</v>
      </c>
      <c r="H10" s="168">
        <f t="shared" si="1"/>
        <v>1.8624600548650767E-3</v>
      </c>
    </row>
    <row r="11" spans="2:8" x14ac:dyDescent="0.2">
      <c r="B11" s="91" t="str">
        <f>'ن-فرعي'!B182:I182</f>
        <v>الفصل السابع: نفقات التزامات النفقات المتكررة المدورة من سنوات سابقة</v>
      </c>
      <c r="C11" s="12">
        <f>IF('ن-فصل'!D45&gt;0,'ن-فصل'!D45,"")</f>
        <v>1150000</v>
      </c>
      <c r="D11" s="73">
        <f>IF('ن-فصل'!E45&gt;0,'ن-فصل'!E45,"")</f>
        <v>1150000</v>
      </c>
      <c r="E11" s="177">
        <f>IF('ن-فصل'!F45&gt;0,'ن-فصل'!F45,"")</f>
        <v>502224.00300000003</v>
      </c>
      <c r="F11" s="12">
        <f>IF('ن-فصل'!G45&gt;0,'ن-فصل'!G45,"")</f>
        <v>600958.60900000005</v>
      </c>
      <c r="G11" s="167">
        <f t="shared" si="0"/>
        <v>0.4367165243478261</v>
      </c>
      <c r="H11" s="168">
        <f t="shared" si="1"/>
        <v>1.4058448186093383E-2</v>
      </c>
    </row>
    <row r="12" spans="2:8" x14ac:dyDescent="0.2">
      <c r="B12" s="91" t="str">
        <f>'ن-فرعي'!B187:I187</f>
        <v>الفصل الثامن: الفوائد والعمولات المصرفية</v>
      </c>
      <c r="C12" s="12">
        <f>IF('ن-فصل'!D47&gt;0,'ن-فصل'!D47,"")</f>
        <v>800000</v>
      </c>
      <c r="D12" s="73">
        <f>IF('ن-فصل'!E47&gt;0,'ن-فصل'!E47,"")</f>
        <v>800000</v>
      </c>
      <c r="E12" s="177">
        <f>IF('ن-فصل'!F47&gt;0,'ن-فصل'!F47,"")</f>
        <v>569621.19700000004</v>
      </c>
      <c r="F12" s="12" t="str">
        <f>IF('ن-فصل'!G47&gt;0,'ن-فصل'!G47,"")</f>
        <v/>
      </c>
      <c r="G12" s="167">
        <f t="shared" si="0"/>
        <v>0.71202649625000003</v>
      </c>
      <c r="H12" s="168">
        <f t="shared" si="1"/>
        <v>1.5945056460642707E-2</v>
      </c>
    </row>
    <row r="13" spans="2:8" x14ac:dyDescent="0.2">
      <c r="B13" s="91" t="str">
        <f>'ن-فرعي'!B192:I192</f>
        <v>الفصل التاسع: تسديد فوائد القروض</v>
      </c>
      <c r="C13" s="12">
        <f>IF('ن-فصل'!D49&gt;0,'ن-فصل'!D49,"")</f>
        <v>100000</v>
      </c>
      <c r="D13" s="73">
        <f>IF('ن-فصل'!E49&gt;0,'ن-فصل'!E49,"")</f>
        <v>100000</v>
      </c>
      <c r="E13" s="177" t="str">
        <f>IF('ن-فصل'!F49&gt;0,'ن-فصل'!F49,"")</f>
        <v/>
      </c>
      <c r="F13" s="12" t="str">
        <f>IF('ن-فصل'!G49&gt;0,'ن-فصل'!G49,"")</f>
        <v/>
      </c>
      <c r="G13" s="167" t="str">
        <f t="shared" si="0"/>
        <v/>
      </c>
      <c r="H13" s="168" t="str">
        <f t="shared" si="1"/>
        <v/>
      </c>
    </row>
    <row r="14" spans="2:8" x14ac:dyDescent="0.2">
      <c r="B14" s="285" t="str">
        <f>'ن-فرعي'!B197:E197</f>
        <v>مجموع الباب الأول: النفقات المتكررة</v>
      </c>
      <c r="C14" s="52">
        <f t="shared" ref="C14:F14" si="2">SUM(C5:C13)</f>
        <v>31092000</v>
      </c>
      <c r="D14" s="74">
        <f t="shared" si="2"/>
        <v>31092000</v>
      </c>
      <c r="E14" s="52">
        <f t="shared" si="2"/>
        <v>25945527.291000001</v>
      </c>
      <c r="F14" s="52">
        <f t="shared" si="2"/>
        <v>1482083.9550000001</v>
      </c>
      <c r="G14" s="167">
        <f t="shared" si="0"/>
        <v>0.83447598388653033</v>
      </c>
      <c r="H14" s="168">
        <f t="shared" si="1"/>
        <v>0.72627721674504542</v>
      </c>
    </row>
    <row r="15" spans="2:8" x14ac:dyDescent="0.2">
      <c r="B15" s="313" t="str">
        <f>'ن-فرعي'!B198:I198</f>
        <v xml:space="preserve">الباب الثاني: نفقات البحث العلمي </v>
      </c>
      <c r="C15" s="313"/>
      <c r="D15" s="313"/>
      <c r="E15" s="313"/>
      <c r="F15" s="313"/>
      <c r="G15" s="313"/>
      <c r="H15" s="313"/>
    </row>
    <row r="16" spans="2:8" x14ac:dyDescent="0.2">
      <c r="B16" s="91" t="str">
        <f>'ن-فرعي'!B199:I199</f>
        <v>الفصل الأول: دعم البحث العلمي ودعم النشر ومكافآت تقييم الأبحات ومراقبة إعداد الرسائل العلمية</v>
      </c>
      <c r="C16" s="12">
        <f>IF('ن-فصل'!D53&gt;0,'ن-فصل'!D53,"")</f>
        <v>835000</v>
      </c>
      <c r="D16" s="73">
        <f>IF('ن-فصل'!E53&gt;0,'ن-فصل'!E53,"")</f>
        <v>1034000</v>
      </c>
      <c r="E16" s="177">
        <f>IF('ن-فصل'!F53&gt;0,'ن-فصل'!F53,"")</f>
        <v>986357.83099999989</v>
      </c>
      <c r="F16" s="12">
        <f>IF('ن-فصل'!G53&gt;0,'ن-فصل'!G53,"")</f>
        <v>5000</v>
      </c>
      <c r="G16" s="167">
        <f t="shared" si="0"/>
        <v>0.95392440135396506</v>
      </c>
      <c r="H16" s="168">
        <f t="shared" si="1"/>
        <v>2.7610509209495013E-2</v>
      </c>
    </row>
    <row r="17" spans="2:8" x14ac:dyDescent="0.2">
      <c r="B17" s="91" t="str">
        <f>'ن-فرعي'!B212:I212</f>
        <v>الفصل الثاني: دعم بحوث ومنح طلبة الدراسات العليا</v>
      </c>
      <c r="C17" s="12">
        <f>IF('ن-فصل'!D55&gt;0,'ن-فصل'!D55,"")</f>
        <v>15000</v>
      </c>
      <c r="D17" s="73">
        <f>IF('ن-فصل'!E55&gt;0,'ن-فصل'!E55,"")</f>
        <v>15000</v>
      </c>
      <c r="E17" s="177">
        <f>IF('ن-فصل'!F55&gt;0,'ن-فصل'!F55,"")</f>
        <v>300</v>
      </c>
      <c r="F17" s="12">
        <f>IF('ن-فصل'!G55&gt;0,'ن-فصل'!G55,"")</f>
        <v>600</v>
      </c>
      <c r="G17" s="167">
        <f t="shared" si="0"/>
        <v>0.02</v>
      </c>
      <c r="H17" s="168">
        <f t="shared" si="1"/>
        <v>8.397715821296607E-6</v>
      </c>
    </row>
    <row r="18" spans="2:8" x14ac:dyDescent="0.2">
      <c r="B18" s="91" t="str">
        <f>'ن-فرعي'!B218:I218</f>
        <v xml:space="preserve">الفصل الثالث: دعم المشاركة في المؤتمرات والندوات العلمية </v>
      </c>
      <c r="C18" s="12">
        <f>IF('ن-فصل'!D57&gt;0,'ن-فصل'!D57,"")</f>
        <v>131000</v>
      </c>
      <c r="D18" s="73">
        <f>IF('ن-فصل'!E57&gt;0,'ن-فصل'!E57,"")</f>
        <v>41000</v>
      </c>
      <c r="E18" s="177">
        <f>IF('ن-فصل'!F57&gt;0,'ن-فصل'!F57,"")</f>
        <v>2356.25</v>
      </c>
      <c r="F18" s="12" t="str">
        <f>IF('ن-فصل'!G57&gt;0,'ن-فصل'!G57,"")</f>
        <v/>
      </c>
      <c r="G18" s="167">
        <f t="shared" si="0"/>
        <v>5.7469512195121954E-2</v>
      </c>
      <c r="H18" s="168">
        <f t="shared" si="1"/>
        <v>6.5957059679767102E-5</v>
      </c>
    </row>
    <row r="19" spans="2:8" x14ac:dyDescent="0.2">
      <c r="B19" s="91" t="str">
        <f>'ن-فرعي'!B226:I226</f>
        <v>الفصل الرابع: المجلات والمطبوعات العلمية والثقافية</v>
      </c>
      <c r="C19" s="12">
        <f>IF('ن-فصل'!D59&gt;0,'ن-فصل'!D59,"")</f>
        <v>47500</v>
      </c>
      <c r="D19" s="73">
        <f>IF('ن-فصل'!E59&gt;0,'ن-فصل'!E59,"")</f>
        <v>47500</v>
      </c>
      <c r="E19" s="177">
        <f>IF('ن-فصل'!F59&gt;0,'ن-فصل'!F59,"")</f>
        <v>25245</v>
      </c>
      <c r="F19" s="12" t="str">
        <f>IF('ن-فصل'!G59&gt;0,'ن-فصل'!G59,"")</f>
        <v/>
      </c>
      <c r="G19" s="167">
        <f t="shared" si="0"/>
        <v>0.53147368421052632</v>
      </c>
      <c r="H19" s="168">
        <f t="shared" si="1"/>
        <v>7.0666778636210956E-4</v>
      </c>
    </row>
    <row r="20" spans="2:8" x14ac:dyDescent="0.2">
      <c r="B20" s="91" t="str">
        <f>'ن-فرعي'!B235:I235</f>
        <v>الفصل الخامس: نفقات التزامات البحث العلمي المدورة من سنوات سابقة</v>
      </c>
      <c r="C20" s="12">
        <f>IF('ن-فصل'!D61&gt;0,'ن-فصل'!D61,"")</f>
        <v>620000</v>
      </c>
      <c r="D20" s="73">
        <f>IF('ن-فصل'!E61&gt;0,'ن-فصل'!E61,"")</f>
        <v>511000</v>
      </c>
      <c r="E20" s="177">
        <f>IF('ن-فصل'!F61&gt;0,'ن-فصل'!F61,"")</f>
        <v>60778.512999999999</v>
      </c>
      <c r="F20" s="12">
        <f>IF('ن-فصل'!G61&gt;0,'ن-فصل'!G61,"")</f>
        <v>423295.62400000001</v>
      </c>
      <c r="G20" s="167">
        <f t="shared" si="0"/>
        <v>0.11894033855185909</v>
      </c>
      <c r="H20" s="168">
        <f t="shared" si="1"/>
        <v>1.7013356007166051E-3</v>
      </c>
    </row>
    <row r="21" spans="2:8" x14ac:dyDescent="0.2">
      <c r="B21" s="91" t="str">
        <f>'ن-فرعي'!B240:I240</f>
        <v>الفصل السادس: أجهزة وتجهيزات وحواسيب للتدريس والبحث العلمي</v>
      </c>
      <c r="C21" s="12">
        <f>IF('ن-فصل'!D65&gt;0,'ن-فصل'!D65,"")</f>
        <v>445000</v>
      </c>
      <c r="D21" s="73">
        <f>IF('ن-فصل'!E65&gt;0,'ن-فصل'!E65,"")</f>
        <v>445000</v>
      </c>
      <c r="E21" s="177">
        <f>IF('ن-فصل'!F65&gt;0,'ن-فصل'!F65,"")</f>
        <v>25364.643999999997</v>
      </c>
      <c r="F21" s="12">
        <f>IF('ن-فصل'!G65&gt;0,'ن-فصل'!G65,"")</f>
        <v>60501.465000000004</v>
      </c>
      <c r="G21" s="167">
        <f t="shared" si="0"/>
        <v>5.6999199999999993E-2</v>
      </c>
      <c r="H21" s="168">
        <f t="shared" si="1"/>
        <v>7.100169074011868E-4</v>
      </c>
    </row>
    <row r="22" spans="2:8" x14ac:dyDescent="0.2">
      <c r="B22" s="91" t="str">
        <f>'ن-فرعي'!B252:I252</f>
        <v>الفصل السابع: الكتب والدوريات الورقية والالكترونية</v>
      </c>
      <c r="C22" s="12">
        <f>IF('ن-فصل'!D67&gt;0,'ن-فصل'!D67,"")</f>
        <v>35000</v>
      </c>
      <c r="D22" s="73">
        <f>IF('ن-فصل'!E67&gt;0,'ن-فصل'!E67,"")</f>
        <v>35000</v>
      </c>
      <c r="E22" s="177">
        <f>IF('ن-فصل'!F67&gt;0,'ن-فصل'!F67,"")</f>
        <v>5249.5649999999996</v>
      </c>
      <c r="F22" s="12">
        <f>IF('ن-فصل'!G67&gt;0,'ن-فصل'!G67,"")</f>
        <v>0.435</v>
      </c>
      <c r="G22" s="167">
        <f t="shared" si="0"/>
        <v>0.14998757142857141</v>
      </c>
      <c r="H22" s="168">
        <f t="shared" si="1"/>
        <v>1.4694785018474972E-4</v>
      </c>
    </row>
    <row r="23" spans="2:8" x14ac:dyDescent="0.2">
      <c r="B23" s="285" t="str">
        <f>'ن-فرعي'!B258:E258</f>
        <v>مجموع الباب الثاني: نفقات البحث العلمي</v>
      </c>
      <c r="C23" s="54">
        <f t="shared" ref="C23:F23" si="3">SUM(C16:C22)</f>
        <v>2128500</v>
      </c>
      <c r="D23" s="75">
        <f t="shared" si="3"/>
        <v>2128500</v>
      </c>
      <c r="E23" s="54">
        <f t="shared" si="3"/>
        <v>1105651.8029999998</v>
      </c>
      <c r="F23" s="54">
        <f t="shared" si="3"/>
        <v>489397.52400000003</v>
      </c>
      <c r="G23" s="167">
        <f t="shared" si="0"/>
        <v>0.51945116420014081</v>
      </c>
      <c r="H23" s="168">
        <f t="shared" si="1"/>
        <v>3.0949832129660727E-2</v>
      </c>
    </row>
    <row r="24" spans="2:8" x14ac:dyDescent="0.2">
      <c r="B24" s="313" t="str">
        <f>'ن-فرعي'!B259:I259</f>
        <v>الباب الثالث: نفقات البعثات العلمية والدورات التدريبية</v>
      </c>
      <c r="C24" s="313"/>
      <c r="D24" s="313"/>
      <c r="E24" s="313"/>
      <c r="F24" s="313"/>
      <c r="G24" s="313"/>
      <c r="H24" s="313"/>
    </row>
    <row r="25" spans="2:8" x14ac:dyDescent="0.2">
      <c r="B25" s="91" t="str">
        <f>'ن-فرعي'!B260:I260</f>
        <v>الفصل الأول: نفقات البعثات العلمية والدورات التدريبية</v>
      </c>
      <c r="C25" s="12">
        <f>IF('ن-فصل'!D71&gt;0,'ن-فصل'!D71,"")</f>
        <v>310000</v>
      </c>
      <c r="D25" s="73">
        <f>IF('ن-فصل'!E71&gt;0,'ن-فصل'!E71,"")</f>
        <v>310000</v>
      </c>
      <c r="E25" s="177">
        <f>IF('ن-فصل'!F71&gt;0,'ن-فصل'!F71,"")</f>
        <v>309999.35200000001</v>
      </c>
      <c r="F25" s="12" t="str">
        <f>IF('ن-فصل'!G71&gt;0,'ن-فصل'!G71,"")</f>
        <v/>
      </c>
      <c r="G25" s="167">
        <f t="shared" si="0"/>
        <v>0.99999790967741942</v>
      </c>
      <c r="H25" s="168">
        <f t="shared" si="1"/>
        <v>8.6776215429403211E-3</v>
      </c>
    </row>
    <row r="26" spans="2:8" x14ac:dyDescent="0.2">
      <c r="B26" s="285" t="str">
        <f>'ن-فرعي'!B268:E268</f>
        <v>مجموع الباب الثالث: نفقات البعثات العلمية والدورات التدريبية</v>
      </c>
      <c r="C26" s="52">
        <f t="shared" ref="C26:F26" si="4">SUM(C25)</f>
        <v>310000</v>
      </c>
      <c r="D26" s="74">
        <f t="shared" si="4"/>
        <v>310000</v>
      </c>
      <c r="E26" s="52">
        <f t="shared" si="4"/>
        <v>309999.35200000001</v>
      </c>
      <c r="F26" s="52">
        <f t="shared" si="4"/>
        <v>0</v>
      </c>
      <c r="G26" s="167">
        <f t="shared" si="0"/>
        <v>0.99999790967741942</v>
      </c>
      <c r="H26" s="168">
        <f t="shared" si="1"/>
        <v>8.6776215429403211E-3</v>
      </c>
    </row>
    <row r="27" spans="2:8" x14ac:dyDescent="0.2">
      <c r="B27" s="313" t="str">
        <f>'ن-فرعي'!B269:I269</f>
        <v>الباب الرابع: النفقات الرأسمالية</v>
      </c>
      <c r="C27" s="313"/>
      <c r="D27" s="313"/>
      <c r="E27" s="313"/>
      <c r="F27" s="313"/>
      <c r="G27" s="313"/>
      <c r="H27" s="313"/>
    </row>
    <row r="28" spans="2:8" x14ac:dyDescent="0.2">
      <c r="B28" s="91" t="str">
        <f>'ن-فرعي'!B270:I270</f>
        <v>الفصل الأول: رخص متنوعة وتطوير التقنيات المختلفة</v>
      </c>
      <c r="C28" s="12">
        <f>IF('ن-فصل'!D75&gt;0,'ن-فصل'!D75,"")</f>
        <v>334500</v>
      </c>
      <c r="D28" s="73">
        <f>IF('ن-فصل'!E75&gt;0,'ن-فصل'!E75,"")</f>
        <v>334500</v>
      </c>
      <c r="E28" s="177">
        <f>IF('ن-فصل'!F75&gt;0,'ن-فصل'!F75,"")</f>
        <v>71981.599999999991</v>
      </c>
      <c r="F28" s="12">
        <f>IF('ن-فصل'!G75&gt;0,'ن-فصل'!G75,"")</f>
        <v>81660.399999999994</v>
      </c>
      <c r="G28" s="167">
        <f t="shared" si="0"/>
        <v>0.21519162929745886</v>
      </c>
      <c r="H28" s="168">
        <f t="shared" si="1"/>
        <v>2.0149367372074792E-3</v>
      </c>
    </row>
    <row r="29" spans="2:8" x14ac:dyDescent="0.2">
      <c r="B29" s="91" t="str">
        <f>'ن-فرعي'!B282:I282</f>
        <v>الفصل الثاني: التجهيزات المكتبية والأثاث</v>
      </c>
      <c r="C29" s="12">
        <f>IF('ن-فصل'!D79&gt;0,'ن-فصل'!D79,"")</f>
        <v>145000</v>
      </c>
      <c r="D29" s="73">
        <f>IF('ن-فصل'!E79&gt;0,'ن-فصل'!E79,"")</f>
        <v>145000</v>
      </c>
      <c r="E29" s="177">
        <f>IF('ن-فصل'!F79&gt;0,'ن-فصل'!F79,"")</f>
        <v>4867.8</v>
      </c>
      <c r="F29" s="12">
        <f>IF('ن-فصل'!G79&gt;0,'ن-فصل'!G79,"")</f>
        <v>70811.25</v>
      </c>
      <c r="G29" s="167">
        <f t="shared" si="0"/>
        <v>3.3571034482758624E-2</v>
      </c>
      <c r="H29" s="168">
        <f t="shared" si="1"/>
        <v>1.3626133691635876E-4</v>
      </c>
    </row>
    <row r="30" spans="2:8" x14ac:dyDescent="0.2">
      <c r="B30" s="91" t="str">
        <f>'ن-فرعي'!B302:I302</f>
        <v xml:space="preserve">الفصل الثالث: الآليات والأجهزة والمعدات </v>
      </c>
      <c r="C30" s="12">
        <f>IF('ن-فصل'!D83&gt;0,'ن-فصل'!D83,"")</f>
        <v>200000</v>
      </c>
      <c r="D30" s="73">
        <f>IF('ن-فصل'!E83&gt;0,'ن-فصل'!E83,"")</f>
        <v>200000</v>
      </c>
      <c r="E30" s="177">
        <f>IF('ن-فصل'!F83&gt;0,'ن-فصل'!F83,"")</f>
        <v>10533.7</v>
      </c>
      <c r="F30" s="12">
        <f>IF('ن-فصل'!G83&gt;0,'ن-فصل'!G83,"")</f>
        <v>8175</v>
      </c>
      <c r="G30" s="167">
        <f t="shared" si="0"/>
        <v>5.2668500000000007E-2</v>
      </c>
      <c r="H30" s="168">
        <f t="shared" si="1"/>
        <v>2.9486339715597361E-4</v>
      </c>
    </row>
    <row r="31" spans="2:8" x14ac:dyDescent="0.2">
      <c r="B31" s="91" t="str">
        <f>'ن-فرعي'!B320:I320</f>
        <v>الفصل الرابع: الأبنية والمشاريع الإنمائية</v>
      </c>
      <c r="C31" s="12">
        <f>IF('ن-فصل'!D86&gt;0,'ن-فصل'!D86,"")</f>
        <v>315000</v>
      </c>
      <c r="D31" s="73">
        <f>IF('ن-فصل'!E86&gt;0,'ن-فصل'!E86,"")</f>
        <v>315000</v>
      </c>
      <c r="E31" s="177">
        <f>IF('ن-فصل'!F86&gt;0,'ن-فصل'!F86,"")</f>
        <v>603.20000000000005</v>
      </c>
      <c r="F31" s="12">
        <f>IF('ن-فصل'!G86&gt;0,'ن-فصل'!G86,"")</f>
        <v>130260.18799999999</v>
      </c>
      <c r="G31" s="167">
        <f t="shared" si="0"/>
        <v>1.914920634920635E-3</v>
      </c>
      <c r="H31" s="168">
        <f t="shared" si="1"/>
        <v>1.6885007278020378E-5</v>
      </c>
    </row>
    <row r="32" spans="2:8" x14ac:dyDescent="0.2">
      <c r="B32" s="91" t="str">
        <f>'ن-فرعي'!B329:I329</f>
        <v xml:space="preserve">الفصل الخامس: الأشغال والمرافق العامة </v>
      </c>
      <c r="C32" s="12">
        <f>IF('ن-فصل'!D90&gt;0,'ن-فصل'!D90,"")</f>
        <v>315000</v>
      </c>
      <c r="D32" s="73">
        <f>IF('ن-فصل'!E90&gt;0,'ن-فصل'!E90,"")</f>
        <v>315000</v>
      </c>
      <c r="E32" s="177">
        <f>IF('ن-فصل'!F90&gt;0,'ن-فصل'!F90,"")</f>
        <v>162740.29999999999</v>
      </c>
      <c r="F32" s="12">
        <f>IF('ن-فصل'!G90&gt;0,'ن-فصل'!G90,"")</f>
        <v>57034</v>
      </c>
      <c r="G32" s="167">
        <f t="shared" si="0"/>
        <v>0.51663587301587299</v>
      </c>
      <c r="H32" s="168">
        <f t="shared" si="1"/>
        <v>4.5554893069085205E-3</v>
      </c>
    </row>
    <row r="33" spans="2:8" x14ac:dyDescent="0.2">
      <c r="B33" s="91" t="str">
        <f>'ن-فرعي'!B345:I345</f>
        <v>الفصل السادس: نفقات الالتزامات الرأسمالية المدورة</v>
      </c>
      <c r="C33" s="12">
        <f>IF('ن-فصل'!D92&gt;0,'ن-فصل'!D92,"")</f>
        <v>884000</v>
      </c>
      <c r="D33" s="73">
        <f>IF('ن-فصل'!E92&gt;0,'ن-فصل'!E92,"")</f>
        <v>884000</v>
      </c>
      <c r="E33" s="177">
        <f>IF('ن-فصل'!F92&gt;0,'ن-فصل'!F92,"")</f>
        <v>64707.563000000002</v>
      </c>
      <c r="F33" s="12">
        <f>IF('ن-فصل'!G92&gt;0,'ن-فصل'!G92,"")</f>
        <v>582664.179</v>
      </c>
      <c r="G33" s="167">
        <f t="shared" si="0"/>
        <v>7.3198600678733031E-2</v>
      </c>
      <c r="H33" s="168">
        <f t="shared" si="1"/>
        <v>1.8113190852088233E-3</v>
      </c>
    </row>
    <row r="34" spans="2:8" x14ac:dyDescent="0.2">
      <c r="B34" s="285" t="str">
        <f>'ن-فرعي'!B350:E350</f>
        <v>مجموع الباب الرابع: النفقات الرأسمالية</v>
      </c>
      <c r="C34" s="52">
        <f t="shared" ref="C34:F34" si="5">SUM(C28:C33)</f>
        <v>2193500</v>
      </c>
      <c r="D34" s="74">
        <f t="shared" si="5"/>
        <v>2193500</v>
      </c>
      <c r="E34" s="52">
        <f t="shared" si="5"/>
        <v>315434.163</v>
      </c>
      <c r="F34" s="52">
        <f t="shared" si="5"/>
        <v>930605.01699999999</v>
      </c>
      <c r="G34" s="167">
        <f t="shared" si="0"/>
        <v>0.14380404057442445</v>
      </c>
      <c r="H34" s="168">
        <f t="shared" si="1"/>
        <v>8.8297548706751765E-3</v>
      </c>
    </row>
    <row r="35" spans="2:8" x14ac:dyDescent="0.2">
      <c r="B35" s="286" t="str">
        <f>'ن-فرعي'!B351:E351</f>
        <v>المجموع العام للموازنة</v>
      </c>
      <c r="C35" s="81">
        <f t="shared" ref="C35:F35" si="6">C14+C23+C26+C34</f>
        <v>35724000</v>
      </c>
      <c r="D35" s="82">
        <f t="shared" si="6"/>
        <v>35724000</v>
      </c>
      <c r="E35" s="81">
        <f t="shared" si="6"/>
        <v>27676612.609000001</v>
      </c>
      <c r="F35" s="81">
        <f t="shared" si="6"/>
        <v>2902086.4960000003</v>
      </c>
      <c r="G35" s="167">
        <f t="shared" si="0"/>
        <v>0.77473442528832159</v>
      </c>
      <c r="H35" s="168">
        <f t="shared" si="1"/>
        <v>0.77473442528832159</v>
      </c>
    </row>
    <row r="36" spans="2:8" s="1" customFormat="1" x14ac:dyDescent="0.2">
      <c r="B36" s="308"/>
      <c r="C36" s="308"/>
      <c r="D36" s="308"/>
      <c r="E36" s="308"/>
      <c r="F36" s="308"/>
      <c r="G36" s="207"/>
      <c r="H36" s="207"/>
    </row>
    <row r="37" spans="2:8" s="109" customFormat="1" x14ac:dyDescent="0.2">
      <c r="B37" s="282" t="s">
        <v>516</v>
      </c>
      <c r="C37" s="310">
        <v>2020</v>
      </c>
      <c r="D37" s="310"/>
      <c r="E37" s="310"/>
      <c r="F37" s="310"/>
      <c r="G37" s="310"/>
      <c r="H37" s="310"/>
    </row>
    <row r="38" spans="2:8" x14ac:dyDescent="0.2">
      <c r="B38" s="313" t="str">
        <f>'ن-فرعي'!B355:I355</f>
        <v>الباب الأول: الاستخدامات</v>
      </c>
      <c r="C38" s="313"/>
      <c r="D38" s="313"/>
      <c r="E38" s="313"/>
      <c r="F38" s="313"/>
      <c r="G38" s="313"/>
      <c r="H38" s="313"/>
    </row>
    <row r="39" spans="2:8" x14ac:dyDescent="0.2">
      <c r="B39" s="91" t="str">
        <f>'ن-فرعي'!B356:I356</f>
        <v>تسديد عجز الموازنة الحالي وذمة عجز موازنة التمويل المتراكم والقروض المستحقة</v>
      </c>
      <c r="C39" s="96">
        <f>IF('ن-فصل'!D101&gt;0,'ن-فصل'!D101,"")</f>
        <v>23090000</v>
      </c>
      <c r="D39" s="105">
        <f>IF('ن-فصل'!E101&gt;0,'ن-فصل'!E101,"")</f>
        <v>23090000</v>
      </c>
      <c r="E39" s="177">
        <f>IF('ن-فصل'!F101&gt;0,'ن-فصل'!F101,"")</f>
        <v>15483007.605000004</v>
      </c>
      <c r="F39" s="96" t="str">
        <f>IF('ن-فصل'!G101&gt;0,'ن-فصل'!G101,"")</f>
        <v/>
      </c>
      <c r="G39" s="167">
        <f t="shared" ref="G39" si="7">IFERROR(E39/D39,"")</f>
        <v>0.67055035101775684</v>
      </c>
      <c r="H39" s="168">
        <f>IFERROR(E39/$D$40,"")</f>
        <v>0.67055035101775684</v>
      </c>
    </row>
    <row r="40" spans="2:8" x14ac:dyDescent="0.2">
      <c r="B40" s="187" t="s">
        <v>525</v>
      </c>
      <c r="C40" s="41">
        <f>SUM(C39)</f>
        <v>23090000</v>
      </c>
      <c r="D40" s="41">
        <f t="shared" ref="D40:F40" si="8">SUM(D39)</f>
        <v>23090000</v>
      </c>
      <c r="E40" s="41">
        <f t="shared" si="8"/>
        <v>15483007.605000004</v>
      </c>
      <c r="F40" s="41">
        <f t="shared" si="8"/>
        <v>0</v>
      </c>
      <c r="G40" s="167">
        <f t="shared" ref="G40" si="9">IFERROR(E40/D40,"")</f>
        <v>0.67055035101775684</v>
      </c>
      <c r="H40" s="168">
        <f>IFERROR(E40/$D$40,"")</f>
        <v>0.67055035101775684</v>
      </c>
    </row>
    <row r="41" spans="2:8" x14ac:dyDescent="0.2">
      <c r="B41" s="307"/>
      <c r="C41" s="307"/>
      <c r="D41" s="307"/>
      <c r="E41" s="307"/>
      <c r="F41" s="307"/>
      <c r="G41" s="205"/>
      <c r="H41" s="205"/>
    </row>
    <row r="42" spans="2:8" x14ac:dyDescent="0.2">
      <c r="B42" s="282" t="s">
        <v>528</v>
      </c>
      <c r="C42" s="310">
        <v>2020</v>
      </c>
      <c r="D42" s="310"/>
      <c r="E42" s="310"/>
      <c r="F42" s="310"/>
      <c r="G42" s="310"/>
      <c r="H42" s="310"/>
    </row>
    <row r="43" spans="2:8" x14ac:dyDescent="0.2">
      <c r="B43" s="309" t="s">
        <v>560</v>
      </c>
      <c r="C43" s="309"/>
      <c r="D43" s="309"/>
      <c r="E43" s="309"/>
      <c r="F43" s="309"/>
      <c r="G43" s="309"/>
      <c r="H43" s="309"/>
    </row>
    <row r="44" spans="2:8" x14ac:dyDescent="0.2">
      <c r="B44" s="91" t="str">
        <f>'ن-فرعي'!B368:I368</f>
        <v>الفصل الأول: نفقات مشاريع وأجهزة وتجهيزات مشروطة بالتمويل</v>
      </c>
      <c r="C44" s="12">
        <f>IF('ن-فصل'!D107&gt;0,'ن-فصل'!D107,"")</f>
        <v>8500000</v>
      </c>
      <c r="D44" s="73">
        <f>IF('ن-فصل'!E107&gt;0,'ن-فصل'!E107,"")</f>
        <v>7635000</v>
      </c>
      <c r="E44" s="177">
        <f>IF('ن-فصل'!F107&gt;0,'ن-فصل'!F107,"")</f>
        <v>337729</v>
      </c>
      <c r="F44" s="12">
        <f>IF('ن-فصل'!G107&gt;0,'ن-فصل'!G107,"")</f>
        <v>428008.93400000001</v>
      </c>
      <c r="G44" s="167">
        <f>IFERROR(E44/C44,"")</f>
        <v>3.9732823529411765E-2</v>
      </c>
      <c r="H44" s="168">
        <f>IFERROR(E44/$C$44,"")</f>
        <v>3.9732823529411765E-2</v>
      </c>
    </row>
    <row r="45" spans="2:8" x14ac:dyDescent="0.2">
      <c r="B45" s="91" t="str">
        <f>'ن-فرعي'!B390:I390</f>
        <v>الفصل الثاني: نفقات الرسوم الجامعية التي تتحملها الجامعة (نفقات غير نقدية)</v>
      </c>
      <c r="C45" s="12">
        <f>IF('ن-فصل'!D109&gt;0,'ن-فصل'!D109,"")</f>
        <v>1500000</v>
      </c>
      <c r="D45" s="12">
        <f>IF('ن-فصل'!E109&gt;0,'ن-فصل'!E109,"")</f>
        <v>2365000</v>
      </c>
      <c r="E45" s="177">
        <f>IF('ن-فصل'!F109&gt;0,'ن-فصل'!F109,"")</f>
        <v>2165985.6</v>
      </c>
      <c r="F45" s="12" t="str">
        <f>IF('ن-فصل'!G109&gt;0,'ن-فصل'!G109,"")</f>
        <v/>
      </c>
      <c r="G45" s="167">
        <f>IFERROR(E45/C45,"")</f>
        <v>1.4439904000000001</v>
      </c>
      <c r="H45" s="168">
        <f>IFERROR(E45/$C$45,"")</f>
        <v>1.4439904000000001</v>
      </c>
    </row>
    <row r="46" spans="2:8" x14ac:dyDescent="0.2">
      <c r="B46" s="188" t="s">
        <v>561</v>
      </c>
      <c r="C46" s="189">
        <f>SUM(C44:C45)</f>
        <v>10000000</v>
      </c>
      <c r="D46" s="189">
        <f t="shared" ref="D46:F46" si="10">SUM(D44:D45)</f>
        <v>10000000</v>
      </c>
      <c r="E46" s="189">
        <f t="shared" si="10"/>
        <v>2503714.6</v>
      </c>
      <c r="F46" s="189">
        <f t="shared" si="10"/>
        <v>428008.93400000001</v>
      </c>
      <c r="G46" s="167">
        <f>IFERROR(E46/C46,"")</f>
        <v>0.25037145999999999</v>
      </c>
      <c r="H46" s="168">
        <f>IFERROR(E46/$C$46,"")</f>
        <v>0.25037145999999999</v>
      </c>
    </row>
    <row r="48" spans="2:8" x14ac:dyDescent="0.2">
      <c r="C48" s="99">
        <f>C35+C40+C46</f>
        <v>68814000</v>
      </c>
      <c r="D48" s="99">
        <f t="shared" ref="D48:F48" si="11">D35+D40+D46</f>
        <v>68814000</v>
      </c>
      <c r="E48" s="99">
        <f t="shared" si="11"/>
        <v>45663334.814000003</v>
      </c>
      <c r="F48" s="99">
        <f t="shared" si="11"/>
        <v>3330095.43</v>
      </c>
    </row>
    <row r="49" spans="3:6" x14ac:dyDescent="0.2">
      <c r="C49" s="99">
        <f>'ن-فصل'!D112-'ن-باب'!C48</f>
        <v>0</v>
      </c>
      <c r="D49" s="99">
        <f>'ن-فصل'!E112-'ن-باب'!D48</f>
        <v>0</v>
      </c>
      <c r="E49" s="99">
        <f>'ن-فصل'!F112-'ن-باب'!E48</f>
        <v>0</v>
      </c>
      <c r="F49" s="99">
        <f>'ن-فصل'!G112-'ن-باب'!F48</f>
        <v>0</v>
      </c>
    </row>
  </sheetData>
  <mergeCells count="13">
    <mergeCell ref="B1:H1"/>
    <mergeCell ref="C42:H42"/>
    <mergeCell ref="C37:H37"/>
    <mergeCell ref="B43:H43"/>
    <mergeCell ref="B38:H38"/>
    <mergeCell ref="B27:H27"/>
    <mergeCell ref="B24:H24"/>
    <mergeCell ref="B15:H15"/>
    <mergeCell ref="B4:H4"/>
    <mergeCell ref="B41:F41"/>
    <mergeCell ref="C3:H3"/>
    <mergeCell ref="B36:F36"/>
    <mergeCell ref="B2:B3"/>
  </mergeCells>
  <conditionalFormatting sqref="B14:F14 B46:F46 B40:F41 B42:B43 B37:B38 B34:F36 B27 B26:F26 B24 B23:F23 B15 B1:B4 B5:D13 F5:F13 B16:D22 F16:F22 B28:D33 F28:F33 B25:D25 F25 B39:D39 F39 B44:D45 F44:F45">
    <cfRule type="containsBlanks" dxfId="353" priority="14">
      <formula>LEN(TRIM(B1))=0</formula>
    </cfRule>
  </conditionalFormatting>
  <conditionalFormatting sqref="C3:H3 C2:F2 H2">
    <cfRule type="containsBlanks" dxfId="352" priority="13" stopIfTrue="1">
      <formula>LEN(TRIM(C2))=0</formula>
    </cfRule>
  </conditionalFormatting>
  <conditionalFormatting sqref="G5:H14 G28:H35 G25:H26 G16:H23">
    <cfRule type="containsBlanks" dxfId="351" priority="12" stopIfTrue="1">
      <formula>LEN(TRIM(G5))=0</formula>
    </cfRule>
  </conditionalFormatting>
  <conditionalFormatting sqref="G39:H40">
    <cfRule type="containsBlanks" dxfId="350" priority="11" stopIfTrue="1">
      <formula>LEN(TRIM(G39))=0</formula>
    </cfRule>
  </conditionalFormatting>
  <conditionalFormatting sqref="G44:H46">
    <cfRule type="containsBlanks" dxfId="349" priority="10" stopIfTrue="1">
      <formula>LEN(TRIM(G44))=0</formula>
    </cfRule>
  </conditionalFormatting>
  <conditionalFormatting sqref="C37:H37">
    <cfRule type="containsBlanks" dxfId="348" priority="9" stopIfTrue="1">
      <formula>LEN(TRIM(C37))=0</formula>
    </cfRule>
  </conditionalFormatting>
  <conditionalFormatting sqref="C42:H42">
    <cfRule type="containsBlanks" dxfId="347" priority="8" stopIfTrue="1">
      <formula>LEN(TRIM(C42))=0</formula>
    </cfRule>
  </conditionalFormatting>
  <conditionalFormatting sqref="G2">
    <cfRule type="containsBlanks" dxfId="346" priority="7" stopIfTrue="1">
      <formula>LEN(TRIM(G2))=0</formula>
    </cfRule>
  </conditionalFormatting>
  <conditionalFormatting sqref="E5:E13">
    <cfRule type="containsBlanks" dxfId="345" priority="6">
      <formula>LEN(TRIM(E5))=0</formula>
    </cfRule>
  </conditionalFormatting>
  <conditionalFormatting sqref="E16:E22">
    <cfRule type="containsBlanks" dxfId="344" priority="5">
      <formula>LEN(TRIM(E16))=0</formula>
    </cfRule>
  </conditionalFormatting>
  <conditionalFormatting sqref="E28:E33">
    <cfRule type="containsBlanks" dxfId="343" priority="4">
      <formula>LEN(TRIM(E28))=0</formula>
    </cfRule>
  </conditionalFormatting>
  <conditionalFormatting sqref="E25">
    <cfRule type="containsBlanks" dxfId="342" priority="3">
      <formula>LEN(TRIM(E25))=0</formula>
    </cfRule>
  </conditionalFormatting>
  <conditionalFormatting sqref="E39">
    <cfRule type="containsBlanks" dxfId="341" priority="2">
      <formula>LEN(TRIM(E39))=0</formula>
    </cfRule>
  </conditionalFormatting>
  <conditionalFormatting sqref="E44:E45">
    <cfRule type="containsBlanks" dxfId="340" priority="1">
      <formula>LEN(TRIM(E44))=0</formula>
    </cfRule>
  </conditionalFormatting>
  <pageMargins left="0.15748031496062992" right="0.17" top="0.69" bottom="0.48" header="0.31496062992125984" footer="0.31496062992125984"/>
  <pageSetup paperSize="9" scale="91" orientation="portrait" r:id="rId1"/>
  <headerFooter>
    <oddHeader>&amp;C&amp;"Andalus,Bold"&amp;20جامعة آل البيت</oddHeader>
    <oddFooter>&amp;L&amp;"Andalus,Bold"&amp;10إعداد دائرة الشؤون المالية/ شعبة الموازنة &amp;C&amp;P+2
&amp;R&amp;"Andalus,Bold"&amp;10الحساب الختامي للسنة المنتهية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33CCFF"/>
  </sheetPr>
  <dimension ref="B1:G53"/>
  <sheetViews>
    <sheetView rightToLeft="1" view="pageBreakPreview" zoomScale="60" zoomScaleNormal="100" workbookViewId="0">
      <pane ySplit="3" topLeftCell="A4" activePane="bottomLeft" state="frozen"/>
      <selection activeCell="B16" sqref="B16:J18"/>
      <selection pane="bottomLeft" activeCell="G50" sqref="B1:G50"/>
    </sheetView>
  </sheetViews>
  <sheetFormatPr defaultRowHeight="14.25" x14ac:dyDescent="0.2"/>
  <cols>
    <col min="1" max="1" width="1.625" customWidth="1"/>
    <col min="2" max="2" width="11.375" style="210" bestFit="1" customWidth="1"/>
    <col min="3" max="3" width="49.625" style="206" customWidth="1"/>
    <col min="4" max="5" width="9.875" style="206" bestFit="1" customWidth="1"/>
    <col min="6" max="6" width="8.875" style="206" bestFit="1" customWidth="1"/>
    <col min="7" max="7" width="9.25" style="206" bestFit="1" customWidth="1"/>
  </cols>
  <sheetData>
    <row r="1" spans="2:7" s="85" customFormat="1" ht="12.75" x14ac:dyDescent="0.2">
      <c r="B1" s="327" t="s">
        <v>812</v>
      </c>
      <c r="C1" s="327"/>
      <c r="D1" s="327"/>
      <c r="E1" s="327"/>
      <c r="F1" s="327"/>
      <c r="G1" s="327"/>
    </row>
    <row r="2" spans="2:7" s="85" customFormat="1" ht="25.5" x14ac:dyDescent="0.2">
      <c r="B2" s="314" t="str">
        <f>'ن-فصل'!B2</f>
        <v>رمز الفصل الفرعي</v>
      </c>
      <c r="C2" s="314" t="str">
        <f>'ن-فصل'!C2</f>
        <v>الفصول الفرعية المُدرجة تحت الفصل</v>
      </c>
      <c r="D2" s="191" t="s">
        <v>520</v>
      </c>
      <c r="E2" s="191" t="s">
        <v>522</v>
      </c>
      <c r="F2" s="190" t="s">
        <v>816</v>
      </c>
      <c r="G2" s="190" t="s">
        <v>805</v>
      </c>
    </row>
    <row r="3" spans="2:7" s="85" customFormat="1" ht="12.75" x14ac:dyDescent="0.2">
      <c r="B3" s="314"/>
      <c r="C3" s="314"/>
      <c r="D3" s="316">
        <v>2020</v>
      </c>
      <c r="E3" s="316"/>
      <c r="F3" s="316"/>
      <c r="G3" s="316"/>
    </row>
    <row r="4" spans="2:7" x14ac:dyDescent="0.2">
      <c r="B4" s="185">
        <v>10102000</v>
      </c>
      <c r="C4" s="18" t="str">
        <f>'ر-فرعي'!C6:G6</f>
        <v>الرسوم الجامعية / النظام العادي</v>
      </c>
      <c r="D4" s="12">
        <f>IF('ر-فرعي'!F12&gt;0,'ر-فرعي'!F12,"")</f>
        <v>8896000</v>
      </c>
      <c r="E4" s="177">
        <f>IF('ر-فرعي'!G12&gt;0,'ر-فرعي'!G12,"")</f>
        <v>7437209.4419999998</v>
      </c>
      <c r="F4" s="167">
        <f>IFERROR(E4/D4,"")</f>
        <v>0.83601724842625902</v>
      </c>
      <c r="G4" s="168">
        <f>IFERROR(E4/$D$36,"")</f>
        <v>0.20818523799126637</v>
      </c>
    </row>
    <row r="5" spans="2:7" x14ac:dyDescent="0.2">
      <c r="B5" s="185">
        <v>10103000</v>
      </c>
      <c r="C5" s="18" t="str">
        <f>'ر-فرعي'!C13:G13</f>
        <v>الرسوم الجامعية / النظام المسائي</v>
      </c>
      <c r="D5" s="12">
        <f>IF('ر-فرعي'!F17&gt;0,'ر-فرعي'!F17,"")</f>
        <v>1550</v>
      </c>
      <c r="E5" s="177">
        <f>IF('ر-فرعي'!G17&gt;0,'ر-فرعي'!G17,"")</f>
        <v>500</v>
      </c>
      <c r="F5" s="167">
        <f t="shared" ref="F5:F36" si="0">IFERROR(E5/D5,"")</f>
        <v>0.32258064516129031</v>
      </c>
      <c r="G5" s="168">
        <f t="shared" ref="G5:G36" si="1">IFERROR(E5/$D$36,"")</f>
        <v>1.3996193035494346E-5</v>
      </c>
    </row>
    <row r="6" spans="2:7" x14ac:dyDescent="0.2">
      <c r="B6" s="185">
        <v>10104000</v>
      </c>
      <c r="C6" s="18" t="str">
        <f>'ر-فرعي'!C18:G18</f>
        <v>الرسوم الجامعية / النظام الموازي</v>
      </c>
      <c r="D6" s="12">
        <f>IF('ر-فرعي'!F24&gt;0,'ر-فرعي'!F24,"")</f>
        <v>7140000</v>
      </c>
      <c r="E6" s="177">
        <f>IF('ر-فرعي'!G24&gt;0,'ر-فرعي'!G24,"")</f>
        <v>6967418.8279999997</v>
      </c>
      <c r="F6" s="167">
        <f t="shared" si="0"/>
        <v>0.97582896750700276</v>
      </c>
      <c r="G6" s="168">
        <f t="shared" si="1"/>
        <v>0.19503467775165154</v>
      </c>
    </row>
    <row r="7" spans="2:7" x14ac:dyDescent="0.2">
      <c r="B7" s="185">
        <v>10107000</v>
      </c>
      <c r="C7" s="18" t="str">
        <f>'ر-فرعي'!C25:G25</f>
        <v>الرسوم الجامعية / ماجستير دولي</v>
      </c>
      <c r="D7" s="12">
        <f>IF('ر-فرعي'!F32&gt;0,'ر-فرعي'!F32,"")</f>
        <v>1230000</v>
      </c>
      <c r="E7" s="177">
        <f>IF('ر-فرعي'!G32&gt;0,'ر-فرعي'!G32,"")</f>
        <v>618033.25199999998</v>
      </c>
      <c r="F7" s="167">
        <f t="shared" si="0"/>
        <v>0.50246605853658532</v>
      </c>
      <c r="G7" s="168">
        <f t="shared" si="1"/>
        <v>1.7300225394692642E-2</v>
      </c>
    </row>
    <row r="8" spans="2:7" x14ac:dyDescent="0.2">
      <c r="B8" s="185">
        <v>10108000</v>
      </c>
      <c r="C8" s="18" t="str">
        <f>'ر-فرعي'!C33:G33</f>
        <v>الرسوم الجامعية / ماجستير عادي</v>
      </c>
      <c r="D8" s="12">
        <f>IF('ر-فرعي'!F40&gt;0,'ر-فرعي'!F40,"")</f>
        <v>2350000</v>
      </c>
      <c r="E8" s="177">
        <f>IF('ر-فرعي'!G40&gt;0,'ر-فرعي'!G40,"")</f>
        <v>1971192.3099999998</v>
      </c>
      <c r="F8" s="167">
        <f t="shared" si="0"/>
        <v>0.83880523829787224</v>
      </c>
      <c r="G8" s="168">
        <f t="shared" si="1"/>
        <v>5.5178376161684015E-2</v>
      </c>
    </row>
    <row r="9" spans="2:7" x14ac:dyDescent="0.2">
      <c r="B9" s="185">
        <v>10109000</v>
      </c>
      <c r="C9" s="18" t="str">
        <f>'ر-فرعي'!C41:G41</f>
        <v>الرسوم الجامعية / دكتوراة دولي</v>
      </c>
      <c r="D9" s="12">
        <f>IF('ر-فرعي'!F48&gt;0,'ر-فرعي'!F48,"")</f>
        <v>31000</v>
      </c>
      <c r="E9" s="177" t="str">
        <f>IF('ر-فرعي'!G48&gt;0,'ر-فرعي'!G48,"")</f>
        <v/>
      </c>
      <c r="F9" s="167" t="str">
        <f t="shared" si="0"/>
        <v/>
      </c>
      <c r="G9" s="168" t="str">
        <f t="shared" si="1"/>
        <v/>
      </c>
    </row>
    <row r="10" spans="2:7" x14ac:dyDescent="0.2">
      <c r="B10" s="185">
        <v>10110000</v>
      </c>
      <c r="C10" s="18" t="str">
        <f>'ر-فرعي'!C49:G49</f>
        <v>الرسوم الجامعية / دكتوراة عادي</v>
      </c>
      <c r="D10" s="12">
        <f>IF('ر-فرعي'!F56&gt;0,'ر-فرعي'!F56,"")</f>
        <v>128000</v>
      </c>
      <c r="E10" s="177">
        <f>IF('ر-فرعي'!G56&gt;0,'ر-فرعي'!G56,"")</f>
        <v>140135.20000000001</v>
      </c>
      <c r="F10" s="167">
        <f t="shared" si="0"/>
        <v>1.09480625</v>
      </c>
      <c r="G10" s="168">
        <f t="shared" si="1"/>
        <v>3.9227186205352147E-3</v>
      </c>
    </row>
    <row r="11" spans="2:7" x14ac:dyDescent="0.2">
      <c r="B11" s="185">
        <v>10111000</v>
      </c>
      <c r="C11" s="18" t="str">
        <f>'ر-فرعي'!C57:G57</f>
        <v>الرسوم الجامعية / دبلوم عالي</v>
      </c>
      <c r="D11" s="12">
        <f>IF('ر-فرعي'!F63&gt;0,'ر-فرعي'!F63,"")</f>
        <v>577000</v>
      </c>
      <c r="E11" s="177">
        <f>IF('ر-فرعي'!G63&gt;0,'ر-فرعي'!G63,"")</f>
        <v>1561233.6400000001</v>
      </c>
      <c r="F11" s="167">
        <f t="shared" si="0"/>
        <v>2.7057775389948011</v>
      </c>
      <c r="G11" s="168">
        <f t="shared" si="1"/>
        <v>4.3702654797894973E-2</v>
      </c>
    </row>
    <row r="12" spans="2:7" x14ac:dyDescent="0.2">
      <c r="B12" s="185">
        <v>10120000</v>
      </c>
      <c r="C12" s="18" t="str">
        <f>'ر-فرعي'!C64:G64</f>
        <v>رسوم جامعية مستحقة</v>
      </c>
      <c r="D12" s="12">
        <f>IF('ر-فرعي'!F67&gt;0,'ر-فرعي'!F67,"")</f>
        <v>880000</v>
      </c>
      <c r="E12" s="177">
        <f>IF('ر-فرعي'!G67&gt;0,'ر-فرعي'!G67,"")</f>
        <v>570783.59</v>
      </c>
      <c r="F12" s="167">
        <f t="shared" si="0"/>
        <v>0.6486177159090909</v>
      </c>
      <c r="G12" s="168">
        <f t="shared" si="1"/>
        <v>1.5977594614264918E-2</v>
      </c>
    </row>
    <row r="13" spans="2:7" x14ac:dyDescent="0.2">
      <c r="B13" s="322" t="str">
        <f>'ر-فرعي'!B68:E68</f>
        <v>مجموع الفصل الأول: الرسوم الجامعية</v>
      </c>
      <c r="C13" s="322"/>
      <c r="D13" s="55">
        <f>SUM(D4:D12)</f>
        <v>21233550</v>
      </c>
      <c r="E13" s="55">
        <f>SUM(E4:E12)</f>
        <v>19266506.261999998</v>
      </c>
      <c r="F13" s="167">
        <f t="shared" si="0"/>
        <v>0.90736152277880988</v>
      </c>
      <c r="G13" s="168">
        <f t="shared" si="1"/>
        <v>0.53931548152502518</v>
      </c>
    </row>
    <row r="14" spans="2:7" s="37" customFormat="1" x14ac:dyDescent="0.2">
      <c r="B14" s="324" t="str">
        <f>'ر-فرعي'!B69:E69</f>
        <v>مجموع الباب الأول: الرسوم الجامعية</v>
      </c>
      <c r="C14" s="324"/>
      <c r="D14" s="56">
        <f>SUM(D13)</f>
        <v>21233550</v>
      </c>
      <c r="E14" s="56">
        <f t="shared" ref="E14" si="2">SUM(E13)</f>
        <v>19266506.261999998</v>
      </c>
      <c r="F14" s="167">
        <f t="shared" si="0"/>
        <v>0.90736152277880988</v>
      </c>
      <c r="G14" s="168">
        <f t="shared" si="1"/>
        <v>0.53931548152502518</v>
      </c>
    </row>
    <row r="15" spans="2:7" x14ac:dyDescent="0.2">
      <c r="B15" s="185">
        <v>11201000</v>
      </c>
      <c r="C15" s="18" t="str">
        <f>'ر-فرعي'!C72:G72</f>
        <v>الدعم الحكومي</v>
      </c>
      <c r="D15" s="12">
        <f>IF('ر-فرعي'!F74&gt;0,'ر-فرعي'!F74,"")</f>
        <v>7600000</v>
      </c>
      <c r="E15" s="177">
        <f>IF('ر-فرعي'!G74&gt;0,'ر-فرعي'!G74,"")</f>
        <v>7356033</v>
      </c>
      <c r="F15" s="167">
        <f t="shared" si="0"/>
        <v>0.96789907894736837</v>
      </c>
      <c r="G15" s="168">
        <f t="shared" si="1"/>
        <v>0.20591291568693315</v>
      </c>
    </row>
    <row r="16" spans="2:7" x14ac:dyDescent="0.2">
      <c r="B16" s="322" t="str">
        <f>'ر-فرعي'!B75:E75</f>
        <v>مجموع الفصل الأول: الدعم الحكومي</v>
      </c>
      <c r="C16" s="322"/>
      <c r="D16" s="55">
        <f t="shared" ref="D16:E16" si="3">D15</f>
        <v>7600000</v>
      </c>
      <c r="E16" s="55">
        <f t="shared" si="3"/>
        <v>7356033</v>
      </c>
      <c r="F16" s="167">
        <f t="shared" si="0"/>
        <v>0.96789907894736837</v>
      </c>
      <c r="G16" s="168">
        <f t="shared" si="1"/>
        <v>0.20591291568693315</v>
      </c>
    </row>
    <row r="17" spans="2:7" x14ac:dyDescent="0.2">
      <c r="B17" s="324" t="str">
        <f>'ر-فرعي'!B76:E76</f>
        <v>مجموع الباب الثاني: الدعم الحكومي</v>
      </c>
      <c r="C17" s="324"/>
      <c r="D17" s="56">
        <f>SUM(D16)</f>
        <v>7600000</v>
      </c>
      <c r="E17" s="56">
        <f t="shared" ref="E17" si="4">SUM(E16)</f>
        <v>7356033</v>
      </c>
      <c r="F17" s="167">
        <f t="shared" si="0"/>
        <v>0.96789907894736837</v>
      </c>
      <c r="G17" s="168">
        <f t="shared" si="1"/>
        <v>0.20591291568693315</v>
      </c>
    </row>
    <row r="18" spans="2:7" x14ac:dyDescent="0.2">
      <c r="B18" s="185">
        <v>10201000</v>
      </c>
      <c r="C18" s="18" t="str">
        <f>'ر-فرعي'!C79:G79</f>
        <v>فوائد بنكية دائنة</v>
      </c>
      <c r="D18" s="12">
        <f>IF('ر-فرعي'!F81&gt;0,'ر-فرعي'!F81,"")</f>
        <v>300</v>
      </c>
      <c r="E18" s="177">
        <f>IF('ر-فرعي'!G81&gt;0,'ر-فرعي'!G81,"")</f>
        <v>4918.0619999999999</v>
      </c>
      <c r="F18" s="167">
        <f t="shared" si="0"/>
        <v>16.393539999999998</v>
      </c>
      <c r="G18" s="168">
        <f t="shared" si="1"/>
        <v>1.3766829022505877E-4</v>
      </c>
    </row>
    <row r="19" spans="2:7" x14ac:dyDescent="0.2">
      <c r="B19" s="185">
        <v>10203000</v>
      </c>
      <c r="C19" s="18" t="str">
        <f>'ر-فرعي'!C82:G82</f>
        <v>ايرادات بدل سكن المنازل الجامعية</v>
      </c>
      <c r="D19" s="12">
        <f>IF('ر-فرعي'!F88&gt;0,'ر-فرعي'!F88,"")</f>
        <v>42000</v>
      </c>
      <c r="E19" s="177">
        <f>IF('ر-فرعي'!G88&gt;0,'ر-فرعي'!G88,"")</f>
        <v>26445.991999999998</v>
      </c>
      <c r="F19" s="167">
        <f t="shared" si="0"/>
        <v>0.62966647619047611</v>
      </c>
      <c r="G19" s="168">
        <f t="shared" si="1"/>
        <v>7.4028641809427832E-4</v>
      </c>
    </row>
    <row r="20" spans="2:7" x14ac:dyDescent="0.2">
      <c r="B20" s="185">
        <v>10204000</v>
      </c>
      <c r="C20" s="18" t="str">
        <f>'ر-فرعي'!C89:G89</f>
        <v>بدل ايجار مباني ومرافق الجامعة</v>
      </c>
      <c r="D20" s="12">
        <f>IF('ر-فرعي'!F99&gt;0,'ر-فرعي'!F99,"")</f>
        <v>518000</v>
      </c>
      <c r="E20" s="177">
        <f>IF('ر-فرعي'!G99&gt;0,'ر-فرعي'!G99,"")</f>
        <v>102452.625</v>
      </c>
      <c r="F20" s="167">
        <f t="shared" si="0"/>
        <v>0.19778499034749034</v>
      </c>
      <c r="G20" s="168">
        <f t="shared" si="1"/>
        <v>2.8678934329862279E-3</v>
      </c>
    </row>
    <row r="21" spans="2:7" x14ac:dyDescent="0.2">
      <c r="B21" s="185">
        <v>10205000</v>
      </c>
      <c r="C21" s="18" t="str">
        <f>'ر-فرعي'!C100:G100</f>
        <v>إيراد بدل ايجار مواقع مستحقة عن سنوات سابقة</v>
      </c>
      <c r="D21" s="12">
        <f>IF('ر-فرعي'!F102&gt;0,'ر-فرعي'!F102,"")</f>
        <v>100000</v>
      </c>
      <c r="E21" s="177">
        <f>IF('ر-فرعي'!G102&gt;0,'ر-فرعي'!G102,"")</f>
        <v>133244.99299999999</v>
      </c>
      <c r="F21" s="167">
        <f t="shared" si="0"/>
        <v>1.3324499299999999</v>
      </c>
      <c r="G21" s="168">
        <f t="shared" si="1"/>
        <v>3.7298452860821851E-3</v>
      </c>
    </row>
    <row r="22" spans="2:7" x14ac:dyDescent="0.2">
      <c r="B22" s="322" t="str">
        <f>'ر-فرعي'!B103:E103</f>
        <v>مجموع الفصل الأول: ريع الأموال المنقولة وغير المنقولة</v>
      </c>
      <c r="C22" s="322"/>
      <c r="D22" s="55">
        <f>SUM(D18:D21)</f>
        <v>660300</v>
      </c>
      <c r="E22" s="55">
        <f>SUM(E18:E21)</f>
        <v>267061.67200000002</v>
      </c>
      <c r="F22" s="167">
        <f t="shared" si="0"/>
        <v>0.40445505376344087</v>
      </c>
      <c r="G22" s="168">
        <f t="shared" si="1"/>
        <v>7.4756934273877513E-3</v>
      </c>
    </row>
    <row r="23" spans="2:7" x14ac:dyDescent="0.2">
      <c r="B23" s="185">
        <v>11001000</v>
      </c>
      <c r="C23" s="18" t="str">
        <f>'ر-فرعي'!C105:G105</f>
        <v>الإيرادات المتنوعة</v>
      </c>
      <c r="D23" s="12">
        <f>IF('ر-فرعي'!F125&gt;0,'ر-فرعي'!F125,"")</f>
        <v>541150</v>
      </c>
      <c r="E23" s="177">
        <f>IF('ر-فرعي'!G125&gt;0,'ر-فرعي'!G125,"")</f>
        <v>410544.44500000001</v>
      </c>
      <c r="F23" s="167">
        <f t="shared" si="0"/>
        <v>0.758651843296683</v>
      </c>
      <c r="G23" s="168">
        <f t="shared" si="1"/>
        <v>1.1492118603739783E-2</v>
      </c>
    </row>
    <row r="24" spans="2:7" x14ac:dyDescent="0.2">
      <c r="B24" s="185">
        <v>11002000</v>
      </c>
      <c r="C24" s="18" t="str">
        <f>'ر-فرعي'!C126:G126</f>
        <v>إيرادات مركز اللغات</v>
      </c>
      <c r="D24" s="12">
        <f>IF('ر-فرعي'!F128&gt;0,'ر-فرعي'!F128,"")</f>
        <v>150000</v>
      </c>
      <c r="E24" s="177">
        <f>IF('ر-فرعي'!G128&gt;0,'ر-فرعي'!G128,"")</f>
        <v>113910</v>
      </c>
      <c r="F24" s="167">
        <f t="shared" si="0"/>
        <v>0.75939999999999996</v>
      </c>
      <c r="G24" s="168">
        <f t="shared" si="1"/>
        <v>3.1886126973463217E-3</v>
      </c>
    </row>
    <row r="25" spans="2:7" x14ac:dyDescent="0.2">
      <c r="B25" s="185">
        <v>11003000</v>
      </c>
      <c r="C25" s="18" t="str">
        <f>'ر-فرعي'!C129:G129</f>
        <v>ايرادات مركز الاستشارات والخدمات الفنية وتنمية المجتمع</v>
      </c>
      <c r="D25" s="12">
        <f>IF('ر-فرعي'!F131&gt;0,'ر-فرعي'!F131,"")</f>
        <v>50000</v>
      </c>
      <c r="E25" s="177">
        <f>IF('ر-فرعي'!G131&gt;0,'ر-فرعي'!G131,"")</f>
        <v>28031.5</v>
      </c>
      <c r="F25" s="167">
        <f t="shared" si="0"/>
        <v>0.56062999999999996</v>
      </c>
      <c r="G25" s="168">
        <f t="shared" si="1"/>
        <v>7.8466857014891948E-4</v>
      </c>
    </row>
    <row r="26" spans="2:7" x14ac:dyDescent="0.2">
      <c r="B26" s="185">
        <v>11007000</v>
      </c>
      <c r="C26" s="18" t="str">
        <f>'ر-فرعي'!C132:G132</f>
        <v>وحدة الدراسات العمانية</v>
      </c>
      <c r="D26" s="12">
        <f>IF('ر-فرعي'!F134&gt;0,'ر-فرعي'!F134,"")</f>
        <v>100000</v>
      </c>
      <c r="E26" s="177">
        <f>IF('ر-فرعي'!G134&gt;0,'ر-فرعي'!G134,"")</f>
        <v>100000</v>
      </c>
      <c r="F26" s="167">
        <f t="shared" si="0"/>
        <v>1</v>
      </c>
      <c r="G26" s="168">
        <f t="shared" si="1"/>
        <v>2.7992386070988689E-3</v>
      </c>
    </row>
    <row r="27" spans="2:7" x14ac:dyDescent="0.2">
      <c r="B27" s="322" t="str">
        <f>'ر-فرعي'!B135:E135</f>
        <v>مجموع الفصل الثاني: إيرادات متنوعة ومراكز علمية وسنين سابقة</v>
      </c>
      <c r="C27" s="322"/>
      <c r="D27" s="55">
        <f>SUM(D23:D26)</f>
        <v>841150</v>
      </c>
      <c r="E27" s="55">
        <f>SUM(E23:E26)</f>
        <v>652485.94500000007</v>
      </c>
      <c r="F27" s="167">
        <f t="shared" si="0"/>
        <v>0.77570700231825485</v>
      </c>
      <c r="G27" s="168">
        <f t="shared" si="1"/>
        <v>1.8264638478333897E-2</v>
      </c>
    </row>
    <row r="28" spans="2:7" x14ac:dyDescent="0.2">
      <c r="B28" s="324" t="str">
        <f>'ر-فرعي'!B136:E136</f>
        <v>مجموع الباب الثالث: الإيرادات الذاتية الأخرى</v>
      </c>
      <c r="C28" s="324"/>
      <c r="D28" s="56">
        <f>D22+D27</f>
        <v>1501450</v>
      </c>
      <c r="E28" s="56">
        <f t="shared" ref="E28" si="5">E22+E27</f>
        <v>919547.61700000009</v>
      </c>
      <c r="F28" s="167">
        <f t="shared" si="0"/>
        <v>0.61243971960438248</v>
      </c>
      <c r="G28" s="168">
        <f t="shared" si="1"/>
        <v>2.5740331905721645E-2</v>
      </c>
    </row>
    <row r="29" spans="2:7" x14ac:dyDescent="0.2">
      <c r="B29" s="185">
        <v>12201000</v>
      </c>
      <c r="C29" s="18" t="str">
        <f>'ر-فرعي'!C139:G139</f>
        <v>التبرعات والمنح والهبات</v>
      </c>
      <c r="D29" s="12">
        <f>IF('ر-فرعي'!F142&gt;0,'ر-فرعي'!F142,"")</f>
        <v>75000</v>
      </c>
      <c r="E29" s="177">
        <f>IF('ر-فرعي'!G142&gt;0,'ر-فرعي'!G142,"")</f>
        <v>27000</v>
      </c>
      <c r="F29" s="167">
        <f t="shared" si="0"/>
        <v>0.36</v>
      </c>
      <c r="G29" s="168">
        <f t="shared" si="1"/>
        <v>7.5579442391669467E-4</v>
      </c>
    </row>
    <row r="30" spans="2:7" x14ac:dyDescent="0.2">
      <c r="B30" s="322" t="str">
        <f>'ر-فرعي'!B143:E143</f>
        <v>مجموع الفصل الأول: التبرعات والمنح والهبات</v>
      </c>
      <c r="C30" s="322"/>
      <c r="D30" s="55">
        <f>SUM(D29)</f>
        <v>75000</v>
      </c>
      <c r="E30" s="55">
        <f>SUM(E29)</f>
        <v>27000</v>
      </c>
      <c r="F30" s="167">
        <f t="shared" si="0"/>
        <v>0.36</v>
      </c>
      <c r="G30" s="168">
        <f t="shared" si="1"/>
        <v>7.5579442391669467E-4</v>
      </c>
    </row>
    <row r="31" spans="2:7" x14ac:dyDescent="0.2">
      <c r="B31" s="324" t="str">
        <f>'ر-فرعي'!B144:E144</f>
        <v>مجموع الباب الرابع: التبرعات والمنح والهبات</v>
      </c>
      <c r="C31" s="324"/>
      <c r="D31" s="56">
        <f>D30</f>
        <v>75000</v>
      </c>
      <c r="E31" s="56">
        <f>E30</f>
        <v>27000</v>
      </c>
      <c r="F31" s="167">
        <f t="shared" si="0"/>
        <v>0.36</v>
      </c>
      <c r="G31" s="168">
        <f t="shared" si="1"/>
        <v>7.5579442391669467E-4</v>
      </c>
    </row>
    <row r="32" spans="2:7" x14ac:dyDescent="0.2">
      <c r="B32" s="323" t="s">
        <v>530</v>
      </c>
      <c r="C32" s="323"/>
      <c r="D32" s="84">
        <f>D14+D28+D17+D31</f>
        <v>30410000</v>
      </c>
      <c r="E32" s="84">
        <f>E14+E28+E17+E31</f>
        <v>27569086.878999997</v>
      </c>
      <c r="F32" s="167">
        <f t="shared" si="0"/>
        <v>0.90657964087471221</v>
      </c>
      <c r="G32" s="168">
        <f t="shared" si="1"/>
        <v>0.7717245235415966</v>
      </c>
    </row>
    <row r="33" spans="2:7" s="1" customFormat="1" x14ac:dyDescent="0.2">
      <c r="B33" s="312" t="s">
        <v>208</v>
      </c>
      <c r="C33" s="312"/>
      <c r="D33" s="312"/>
      <c r="E33" s="312"/>
      <c r="F33" s="167" t="str">
        <f t="shared" si="0"/>
        <v/>
      </c>
      <c r="G33" s="168">
        <f t="shared" si="1"/>
        <v>0</v>
      </c>
    </row>
    <row r="34" spans="2:7" x14ac:dyDescent="0.2">
      <c r="B34" s="186">
        <v>18101000</v>
      </c>
      <c r="C34" s="4" t="str">
        <f>'ر-مواد'!C109</f>
        <v>العجز</v>
      </c>
      <c r="D34" s="96">
        <f>'ر-مواد'!D109</f>
        <v>5314000</v>
      </c>
      <c r="E34" s="183">
        <f>'ر-مواد'!E109</f>
        <v>107525.73000000417</v>
      </c>
      <c r="F34" s="167">
        <f t="shared" si="0"/>
        <v>2.0234424162590171E-2</v>
      </c>
      <c r="G34" s="168">
        <f t="shared" si="1"/>
        <v>3.0099017467250075E-3</v>
      </c>
    </row>
    <row r="35" spans="2:7" x14ac:dyDescent="0.2">
      <c r="B35" s="325" t="str">
        <f>'ر-فرعي'!B149:E149</f>
        <v>المجموع العام للعجز المقدر بالموازنة</v>
      </c>
      <c r="C35" s="325"/>
      <c r="D35" s="69">
        <f>SUM(D34)</f>
        <v>5314000</v>
      </c>
      <c r="E35" s="69">
        <f t="shared" ref="E35" si="6">SUM(E34)</f>
        <v>107525.73000000417</v>
      </c>
      <c r="F35" s="167">
        <f t="shared" si="0"/>
        <v>2.0234424162590171E-2</v>
      </c>
      <c r="G35" s="168">
        <f t="shared" si="1"/>
        <v>3.0099017467250075E-3</v>
      </c>
    </row>
    <row r="36" spans="2:7" s="37" customFormat="1" x14ac:dyDescent="0.2">
      <c r="B36" s="318" t="s">
        <v>524</v>
      </c>
      <c r="C36" s="318"/>
      <c r="D36" s="107">
        <f>D32+D35</f>
        <v>35724000</v>
      </c>
      <c r="E36" s="107">
        <f t="shared" ref="E36" si="7">E32+E35</f>
        <v>27676612.609000001</v>
      </c>
      <c r="F36" s="167">
        <f t="shared" si="0"/>
        <v>0.77473442528832159</v>
      </c>
      <c r="G36" s="168">
        <f t="shared" si="1"/>
        <v>0.77473442528832159</v>
      </c>
    </row>
    <row r="37" spans="2:7" s="37" customFormat="1" x14ac:dyDescent="0.2">
      <c r="B37" s="326"/>
      <c r="C37" s="326"/>
      <c r="D37" s="326"/>
      <c r="E37" s="326"/>
      <c r="F37" s="205"/>
      <c r="G37" s="205"/>
    </row>
    <row r="38" spans="2:7" s="37" customFormat="1" x14ac:dyDescent="0.2">
      <c r="B38" s="315" t="s">
        <v>516</v>
      </c>
      <c r="C38" s="315"/>
      <c r="D38" s="316">
        <v>2020</v>
      </c>
      <c r="E38" s="316"/>
      <c r="F38" s="316"/>
      <c r="G38" s="316"/>
    </row>
    <row r="39" spans="2:7" s="37" customFormat="1" x14ac:dyDescent="0.2">
      <c r="B39" s="142">
        <f>'ر-فرعي'!D158</f>
        <v>17202001</v>
      </c>
      <c r="C39" s="18" t="str">
        <f>'ر-فرعي'!E158</f>
        <v>تسهيلات بنكية/جاري مدين</v>
      </c>
      <c r="D39" s="12">
        <f>IF('ر-فرعي'!F158&gt;0,'ر-فرعي'!F158,"")</f>
        <v>7000000</v>
      </c>
      <c r="E39" s="177">
        <f>IF('ر-فرعي'!G158&gt;0,'ر-فرعي'!G158,"")</f>
        <v>7000000</v>
      </c>
      <c r="F39" s="167">
        <f>IFERROR(E39/D39,"")</f>
        <v>1</v>
      </c>
      <c r="G39" s="168">
        <f>IFERROR(E39/$D$42,"")</f>
        <v>0.30316154179298399</v>
      </c>
    </row>
    <row r="40" spans="2:7" s="37" customFormat="1" x14ac:dyDescent="0.2">
      <c r="B40" s="142">
        <f>'ر-فرعي'!D159</f>
        <v>17202002</v>
      </c>
      <c r="C40" s="18" t="str">
        <f>'ر-فرعي'!E159</f>
        <v>قرض  بنك القاهرة عمان/ سلفة البنك المركزي للجامعات الحكومية</v>
      </c>
      <c r="D40" s="12">
        <f>IF('ر-فرعي'!F159&gt;0,'ر-فرعي'!F159,"")</f>
        <v>2000000</v>
      </c>
      <c r="E40" s="177">
        <f>IF('ر-فرعي'!G159&gt;0,'ر-فرعي'!G159,"")</f>
        <v>1999946</v>
      </c>
      <c r="F40" s="167">
        <f t="shared" ref="F40:F42" si="8">IFERROR(E40/D40,"")</f>
        <v>0.999973</v>
      </c>
      <c r="G40" s="168">
        <f t="shared" ref="G40:G42" si="9">IFERROR(E40/$D$42,"")</f>
        <v>8.6615244694673021E-2</v>
      </c>
    </row>
    <row r="41" spans="2:7" s="37" customFormat="1" x14ac:dyDescent="0.2">
      <c r="B41" s="142">
        <f>'ر-فرعي'!D160</f>
        <v>18201001</v>
      </c>
      <c r="C41" s="18" t="str">
        <f>'ر-فرعي'!E160</f>
        <v>عجز موازنة التمويل</v>
      </c>
      <c r="D41" s="96">
        <f>IF('ر-فرعي'!F160&gt;0,'ر-فرعي'!F160,"")</f>
        <v>14090000</v>
      </c>
      <c r="E41" s="177">
        <f>IF('ر-فرعي'!G160&gt;0,'ر-فرعي'!G160,"")</f>
        <v>6483061.6050000042</v>
      </c>
      <c r="F41" s="167">
        <f t="shared" si="8"/>
        <v>0.4601179279630947</v>
      </c>
      <c r="G41" s="168">
        <f t="shared" si="9"/>
        <v>0.28077356453009977</v>
      </c>
    </row>
    <row r="42" spans="2:7" s="37" customFormat="1" x14ac:dyDescent="0.2">
      <c r="B42" s="320" t="str">
        <f>'ر-فرعي'!B162:E162</f>
        <v>المجموع العام لموازنة التمويل</v>
      </c>
      <c r="C42" s="320"/>
      <c r="D42" s="103">
        <f>SUM(D39:D41)</f>
        <v>23090000</v>
      </c>
      <c r="E42" s="103">
        <f>SUM(E39:E41)</f>
        <v>15483007.605000004</v>
      </c>
      <c r="F42" s="167">
        <f t="shared" si="8"/>
        <v>0.67055035101775684</v>
      </c>
      <c r="G42" s="168">
        <f t="shared" si="9"/>
        <v>0.67055035101775684</v>
      </c>
    </row>
    <row r="43" spans="2:7" s="1" customFormat="1" x14ac:dyDescent="0.2">
      <c r="B43" s="326"/>
      <c r="C43" s="326"/>
      <c r="D43" s="326"/>
      <c r="E43" s="326"/>
      <c r="F43" s="167"/>
      <c r="G43" s="168"/>
    </row>
    <row r="44" spans="2:7" x14ac:dyDescent="0.2">
      <c r="B44" s="315" t="s">
        <v>528</v>
      </c>
      <c r="C44" s="315"/>
      <c r="D44" s="316">
        <v>2020</v>
      </c>
      <c r="E44" s="316"/>
      <c r="F44" s="316"/>
      <c r="G44" s="316"/>
    </row>
    <row r="45" spans="2:7" x14ac:dyDescent="0.2">
      <c r="B45" s="185">
        <v>19301000</v>
      </c>
      <c r="C45" s="18" t="str">
        <f>'ر-فرعي'!C167:G167</f>
        <v>مشاريع مشروطة بالتمويل</v>
      </c>
      <c r="D45" s="12">
        <f>IF('ر-فرعي'!F175&gt;0,'ر-فرعي'!F175,"")</f>
        <v>6655000</v>
      </c>
      <c r="E45" s="177">
        <f>IF('ر-فرعي'!G175&gt;0,'ر-فرعي'!G175,"")</f>
        <v>297425</v>
      </c>
      <c r="F45" s="167">
        <f>IFERROR(E45/D45,"")</f>
        <v>4.4691960931630352E-2</v>
      </c>
      <c r="G45" s="168">
        <f>IFERROR(E45/$D$47,"")</f>
        <v>3.4991176470588234E-2</v>
      </c>
    </row>
    <row r="46" spans="2:7" x14ac:dyDescent="0.2">
      <c r="B46" s="185">
        <v>19302000</v>
      </c>
      <c r="C46" s="18" t="str">
        <f>'ر-فرعي'!C176:G176</f>
        <v>أجهزة وتجهيزات مشروطة بالتمويل</v>
      </c>
      <c r="D46" s="12">
        <f>IF('ر-فرعي'!F186&gt;0,'ر-فرعي'!F186,"")</f>
        <v>1845000</v>
      </c>
      <c r="E46" s="177">
        <f>IF('ر-فرعي'!G186&gt;0,'ر-فرعي'!G186,"")</f>
        <v>40304</v>
      </c>
      <c r="F46" s="167">
        <f t="shared" ref="F46:F47" si="10">IFERROR(E46/D46,"")</f>
        <v>2.18449864498645E-2</v>
      </c>
      <c r="G46" s="168">
        <f t="shared" ref="G46:G47" si="11">IFERROR(E46/$D$47,"")</f>
        <v>4.7416470588235293E-3</v>
      </c>
    </row>
    <row r="47" spans="2:7" x14ac:dyDescent="0.2">
      <c r="B47" s="319" t="s">
        <v>536</v>
      </c>
      <c r="C47" s="319"/>
      <c r="D47" s="55">
        <f>SUM(D45:D46)</f>
        <v>8500000</v>
      </c>
      <c r="E47" s="55">
        <f>SUM(E45:E46)</f>
        <v>337729</v>
      </c>
      <c r="F47" s="167">
        <f t="shared" si="10"/>
        <v>3.9732823529411765E-2</v>
      </c>
      <c r="G47" s="168">
        <f t="shared" si="11"/>
        <v>3.9732823529411765E-2</v>
      </c>
    </row>
    <row r="48" spans="2:7" ht="14.25" customHeight="1" x14ac:dyDescent="0.2">
      <c r="B48" s="185">
        <v>19400000</v>
      </c>
      <c r="C48" s="106" t="s">
        <v>509</v>
      </c>
      <c r="D48" s="12">
        <f>IF('ر-فرعي'!F199&gt;0,'ر-فرعي'!F199,"")</f>
        <v>1500000</v>
      </c>
      <c r="E48" s="177">
        <f>IF('ر-فرعي'!G199&gt;0,'ر-فرعي'!G199,"")</f>
        <v>2165985.6</v>
      </c>
      <c r="F48" s="167">
        <f>IFERROR(E48/D48,"")</f>
        <v>1.4439904000000001</v>
      </c>
      <c r="G48" s="168">
        <f>IFERROR(E48/$D$49,"")</f>
        <v>1.4439904000000001</v>
      </c>
    </row>
    <row r="49" spans="2:7" s="37" customFormat="1" x14ac:dyDescent="0.2">
      <c r="B49" s="321" t="s">
        <v>535</v>
      </c>
      <c r="C49" s="321"/>
      <c r="D49" s="102">
        <f>SUM(D48)</f>
        <v>1500000</v>
      </c>
      <c r="E49" s="102">
        <f t="shared" ref="E49" si="12">SUM(E48)</f>
        <v>2165985.6</v>
      </c>
      <c r="F49" s="167">
        <f t="shared" ref="F49:F50" si="13">IFERROR(E49/D49,"")</f>
        <v>1.4439904000000001</v>
      </c>
      <c r="G49" s="168">
        <f>IFERROR(E49/$D$49,"")</f>
        <v>1.4439904000000001</v>
      </c>
    </row>
    <row r="50" spans="2:7" x14ac:dyDescent="0.2">
      <c r="B50" s="317" t="s">
        <v>561</v>
      </c>
      <c r="C50" s="317"/>
      <c r="D50" s="184">
        <f>D47+D49</f>
        <v>10000000</v>
      </c>
      <c r="E50" s="184">
        <f t="shared" ref="E50" si="14">E47+E49</f>
        <v>2503714.6</v>
      </c>
      <c r="F50" s="167">
        <f t="shared" si="13"/>
        <v>0.25037145999999999</v>
      </c>
      <c r="G50" s="168">
        <f>IFERROR(E50/$D$50,"")</f>
        <v>0.25037145999999999</v>
      </c>
    </row>
    <row r="51" spans="2:7" s="1" customFormat="1" x14ac:dyDescent="0.2">
      <c r="B51" s="208"/>
      <c r="C51" s="209"/>
      <c r="D51" s="48"/>
      <c r="E51" s="48"/>
      <c r="F51" s="209"/>
      <c r="G51" s="209"/>
    </row>
    <row r="52" spans="2:7" x14ac:dyDescent="0.2">
      <c r="D52" s="104">
        <f>D36+D42+D50</f>
        <v>68814000</v>
      </c>
      <c r="E52" s="104">
        <f>E36+E42+E50</f>
        <v>45663334.814000003</v>
      </c>
    </row>
    <row r="53" spans="2:7" x14ac:dyDescent="0.2">
      <c r="D53" s="99">
        <f>'ر-مواد'!D155-'ر-فصل'!D52</f>
        <v>0</v>
      </c>
      <c r="E53" s="99">
        <f>'ر-مواد'!E155-'ر-فصل'!E52</f>
        <v>0</v>
      </c>
    </row>
  </sheetData>
  <mergeCells count="27">
    <mergeCell ref="B2:B3"/>
    <mergeCell ref="C2:C3"/>
    <mergeCell ref="B13:C13"/>
    <mergeCell ref="D3:G3"/>
    <mergeCell ref="B1:G1"/>
    <mergeCell ref="B35:C35"/>
    <mergeCell ref="B33:E33"/>
    <mergeCell ref="B43:E43"/>
    <mergeCell ref="B37:E37"/>
    <mergeCell ref="B31:C31"/>
    <mergeCell ref="D38:G38"/>
    <mergeCell ref="B30:C30"/>
    <mergeCell ref="B32:C32"/>
    <mergeCell ref="B14:C14"/>
    <mergeCell ref="B17:C17"/>
    <mergeCell ref="B28:C28"/>
    <mergeCell ref="B16:C16"/>
    <mergeCell ref="B27:C27"/>
    <mergeCell ref="B22:C22"/>
    <mergeCell ref="D44:G44"/>
    <mergeCell ref="B50:C50"/>
    <mergeCell ref="B36:C36"/>
    <mergeCell ref="B47:C47"/>
    <mergeCell ref="B42:C42"/>
    <mergeCell ref="B44:C44"/>
    <mergeCell ref="B38:C38"/>
    <mergeCell ref="B49:C49"/>
  </mergeCells>
  <conditionalFormatting sqref="B34:C34 B1 B35:E37 B13:E14 B2:C3 B47:E47 B44:C44 B42:E43 B38:C38 B4:D12 B16:E17 B15:D15 B22:E22 B18:D21 B27:E28 B23:D26 B30:E33 B29:D29 B39:D41 B45:D46 B49:E50 B48:D48">
    <cfRule type="containsBlanks" dxfId="339" priority="19" stopIfTrue="1">
      <formula>LEN(TRIM(B1))=0</formula>
    </cfRule>
  </conditionalFormatting>
  <conditionalFormatting sqref="D34">
    <cfRule type="containsBlanks" dxfId="338" priority="17">
      <formula>LEN(TRIM(D34))=0</formula>
    </cfRule>
  </conditionalFormatting>
  <conditionalFormatting sqref="D3:G3 D2:E2 G2">
    <cfRule type="containsBlanks" dxfId="337" priority="16" stopIfTrue="1">
      <formula>LEN(TRIM(D2))=0</formula>
    </cfRule>
  </conditionalFormatting>
  <conditionalFormatting sqref="F4:G36">
    <cfRule type="containsBlanks" dxfId="336" priority="15" stopIfTrue="1">
      <formula>LEN(TRIM(F4))=0</formula>
    </cfRule>
  </conditionalFormatting>
  <conditionalFormatting sqref="F39:G43">
    <cfRule type="containsBlanks" dxfId="335" priority="14" stopIfTrue="1">
      <formula>LEN(TRIM(F39))=0</formula>
    </cfRule>
  </conditionalFormatting>
  <conditionalFormatting sqref="F45:G50">
    <cfRule type="containsBlanks" dxfId="334" priority="13" stopIfTrue="1">
      <formula>LEN(TRIM(F45))=0</formula>
    </cfRule>
  </conditionalFormatting>
  <conditionalFormatting sqref="D38:G38">
    <cfRule type="containsBlanks" dxfId="333" priority="12" stopIfTrue="1">
      <formula>LEN(TRIM(D38))=0</formula>
    </cfRule>
  </conditionalFormatting>
  <conditionalFormatting sqref="D44:G44">
    <cfRule type="containsBlanks" dxfId="332" priority="11" stopIfTrue="1">
      <formula>LEN(TRIM(D44))=0</formula>
    </cfRule>
  </conditionalFormatting>
  <conditionalFormatting sqref="E4:E12">
    <cfRule type="containsBlanks" dxfId="331" priority="10">
      <formula>LEN(TRIM(E4))=0</formula>
    </cfRule>
  </conditionalFormatting>
  <conditionalFormatting sqref="E15">
    <cfRule type="containsBlanks" dxfId="330" priority="9">
      <formula>LEN(TRIM(E15))=0</formula>
    </cfRule>
  </conditionalFormatting>
  <conditionalFormatting sqref="E18:E21">
    <cfRule type="containsBlanks" dxfId="329" priority="8">
      <formula>LEN(TRIM(E18))=0</formula>
    </cfRule>
  </conditionalFormatting>
  <conditionalFormatting sqref="E23:E26">
    <cfRule type="containsBlanks" dxfId="328" priority="7">
      <formula>LEN(TRIM(E23))=0</formula>
    </cfRule>
  </conditionalFormatting>
  <conditionalFormatting sqref="E29">
    <cfRule type="containsBlanks" dxfId="327" priority="6">
      <formula>LEN(TRIM(E29))=0</formula>
    </cfRule>
  </conditionalFormatting>
  <conditionalFormatting sqref="E34">
    <cfRule type="containsBlanks" dxfId="326" priority="5">
      <formula>LEN(TRIM(E34))=0</formula>
    </cfRule>
  </conditionalFormatting>
  <conditionalFormatting sqref="E39:E41">
    <cfRule type="containsBlanks" dxfId="325" priority="4">
      <formula>LEN(TRIM(E39))=0</formula>
    </cfRule>
  </conditionalFormatting>
  <conditionalFormatting sqref="E45:E46">
    <cfRule type="containsBlanks" dxfId="324" priority="3">
      <formula>LEN(TRIM(E45))=0</formula>
    </cfRule>
  </conditionalFormatting>
  <conditionalFormatting sqref="E48">
    <cfRule type="containsBlanks" dxfId="323" priority="2">
      <formula>LEN(TRIM(E48))=0</formula>
    </cfRule>
  </conditionalFormatting>
  <conditionalFormatting sqref="F2">
    <cfRule type="containsBlanks" dxfId="322" priority="1" stopIfTrue="1">
      <formula>LEN(TRIM(F2))=0</formula>
    </cfRule>
  </conditionalFormatting>
  <pageMargins left="0.17" right="0.34" top="0.70866141732283472" bottom="0.15748031496062992" header="0.55118110236220474" footer="0.15748031496062992"/>
  <pageSetup paperSize="9" scale="91" orientation="portrait" r:id="rId1"/>
  <headerFooter>
    <oddFooter xml:space="preserve">&amp;C
&amp;P+3
&amp;R
</oddFooter>
  </headerFooter>
  <ignoredErrors>
    <ignoredError sqref="D29 E2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</sheetPr>
  <dimension ref="B1:I113"/>
  <sheetViews>
    <sheetView rightToLeft="1" view="pageBreakPreview" zoomScale="60" zoomScaleNormal="100" workbookViewId="0">
      <pane ySplit="3" topLeftCell="A4" activePane="bottomLeft" state="frozen"/>
      <selection pane="bottomLeft" activeCell="I110" sqref="B1:I110"/>
    </sheetView>
  </sheetViews>
  <sheetFormatPr defaultRowHeight="14.25" x14ac:dyDescent="0.2"/>
  <cols>
    <col min="1" max="1" width="3" customWidth="1"/>
    <col min="2" max="2" width="9" style="2" bestFit="1" customWidth="1"/>
    <col min="3" max="3" width="53.25" style="2" bestFit="1" customWidth="1"/>
    <col min="4" max="6" width="9.875" style="2" bestFit="1" customWidth="1"/>
    <col min="7" max="7" width="8.875" style="2" bestFit="1" customWidth="1"/>
    <col min="8" max="8" width="7.75" style="206" bestFit="1" customWidth="1"/>
    <col min="9" max="9" width="8.75" style="206" bestFit="1" customWidth="1"/>
  </cols>
  <sheetData>
    <row r="1" spans="2:9" s="85" customFormat="1" ht="12.75" x14ac:dyDescent="0.2">
      <c r="B1" s="315" t="s">
        <v>811</v>
      </c>
      <c r="C1" s="315"/>
      <c r="D1" s="315"/>
      <c r="E1" s="315"/>
      <c r="F1" s="315"/>
      <c r="G1" s="315"/>
      <c r="H1" s="315"/>
      <c r="I1" s="315"/>
    </row>
    <row r="2" spans="2:9" s="85" customFormat="1" ht="51" x14ac:dyDescent="0.2">
      <c r="B2" s="314" t="s">
        <v>406</v>
      </c>
      <c r="C2" s="314" t="s">
        <v>428</v>
      </c>
      <c r="D2" s="192" t="s">
        <v>520</v>
      </c>
      <c r="E2" s="192" t="s">
        <v>521</v>
      </c>
      <c r="F2" s="192" t="s">
        <v>522</v>
      </c>
      <c r="G2" s="191" t="s">
        <v>523</v>
      </c>
      <c r="H2" s="190" t="s">
        <v>815</v>
      </c>
      <c r="I2" s="190" t="s">
        <v>806</v>
      </c>
    </row>
    <row r="3" spans="2:9" s="85" customFormat="1" ht="12.75" x14ac:dyDescent="0.2">
      <c r="B3" s="314"/>
      <c r="C3" s="314"/>
      <c r="D3" s="328">
        <v>2020</v>
      </c>
      <c r="E3" s="328"/>
      <c r="F3" s="328"/>
      <c r="G3" s="328"/>
      <c r="H3" s="328"/>
      <c r="I3" s="328"/>
    </row>
    <row r="4" spans="2:9" x14ac:dyDescent="0.2">
      <c r="B4" s="95">
        <v>20101000</v>
      </c>
      <c r="C4" s="3" t="str">
        <f>'ن-فرعي'!C6:I6</f>
        <v>رواتب وعلاوات أعضاء هيئة التدريس والمحاضرين المساعدين</v>
      </c>
      <c r="D4" s="12">
        <f>IF('ن-فرعي'!F14&gt;0,'ن-فرعي'!F14,"")</f>
        <v>10006000</v>
      </c>
      <c r="E4" s="12">
        <f>IF('ن-فرعي'!G14&gt;0,'ن-فرعي'!G14,"")</f>
        <v>9958000</v>
      </c>
      <c r="F4" s="177">
        <f>IF('ن-فرعي'!H14&gt;0,'ن-فرعي'!H14,"")</f>
        <v>8898909.6859999988</v>
      </c>
      <c r="G4" s="12" t="str">
        <f>IF('ن-فرعي'!I14&gt;0,'ن-فرعي'!I14,"")</f>
        <v/>
      </c>
      <c r="H4" s="167">
        <f>IFERROR(F4/E4,"")</f>
        <v>0.89364427455312301</v>
      </c>
      <c r="I4" s="168">
        <f>IFERROR(F4/$E$94,"")</f>
        <v>0.24910171554137273</v>
      </c>
    </row>
    <row r="5" spans="2:9" x14ac:dyDescent="0.2">
      <c r="B5" s="95">
        <v>20103000</v>
      </c>
      <c r="C5" s="3" t="str">
        <f>'ن-فرعي'!C15:I15</f>
        <v>رواتب وعلاوات الهيئة الإدارية</v>
      </c>
      <c r="D5" s="12">
        <f>IF('ن-فرعي'!F20&gt;0,'ن-فرعي'!F20,"")</f>
        <v>7311606</v>
      </c>
      <c r="E5" s="12">
        <f>IF('ن-فرعي'!G20&gt;0,'ن-فرعي'!G20,"")</f>
        <v>7349606</v>
      </c>
      <c r="F5" s="177">
        <f>IF('ن-فرعي'!H20&gt;0,'ن-فرعي'!H20,"")</f>
        <v>6749273.3530000011</v>
      </c>
      <c r="G5" s="12" t="str">
        <f>IF('ن-فرعي'!I20&gt;0,'ن-فرعي'!I20,"")</f>
        <v/>
      </c>
      <c r="H5" s="167">
        <f t="shared" ref="H5:H68" si="0">IFERROR(F5/E5,"")</f>
        <v>0.91831771022827635</v>
      </c>
      <c r="I5" s="168">
        <f t="shared" ref="I5:I68" si="1">IFERROR(F5/$E$94,"")</f>
        <v>0.18892826539581237</v>
      </c>
    </row>
    <row r="6" spans="2:9" x14ac:dyDescent="0.2">
      <c r="B6" s="95">
        <v>20116000</v>
      </c>
      <c r="C6" s="3" t="str">
        <f>'ن-فرعي'!C21:I21</f>
        <v>مخصصات حوافز واحتياطي الموازي</v>
      </c>
      <c r="D6" s="12">
        <f>IF('ن-فرعي'!F26&gt;0,'ن-فرعي'!F26,"")</f>
        <v>4126169</v>
      </c>
      <c r="E6" s="12">
        <f>IF('ن-فرعي'!G26&gt;0,'ن-فرعي'!G26,"")</f>
        <v>4126169</v>
      </c>
      <c r="F6" s="177">
        <f>IF('ن-فرعي'!H26&gt;0,'ن-فرعي'!H26,"")</f>
        <v>4126169</v>
      </c>
      <c r="G6" s="12" t="str">
        <f>IF('ن-فرعي'!I26&gt;0,'ن-فرعي'!I26,"")</f>
        <v/>
      </c>
      <c r="H6" s="167">
        <f t="shared" si="0"/>
        <v>1</v>
      </c>
      <c r="I6" s="168">
        <f t="shared" si="1"/>
        <v>0.11550131564214533</v>
      </c>
    </row>
    <row r="7" spans="2:9" x14ac:dyDescent="0.2">
      <c r="B7" s="95">
        <v>20117000</v>
      </c>
      <c r="C7" s="3" t="str">
        <f>'ن-فرعي'!C27:I27</f>
        <v>أجور ومكافآت واستئجار خدمات</v>
      </c>
      <c r="D7" s="12">
        <f>IF('ن-فرعي'!F31&gt;0,'ن-فرعي'!F31,"")</f>
        <v>670000</v>
      </c>
      <c r="E7" s="12">
        <f>IF('ن-فرعي'!G31&gt;0,'ن-فرعي'!G31,"")</f>
        <v>680000</v>
      </c>
      <c r="F7" s="177">
        <f>IF('ن-فرعي'!H31&gt;0,'ن-فرعي'!H31,"")</f>
        <v>554619.55000000005</v>
      </c>
      <c r="G7" s="12">
        <f>IF('ن-فرعي'!I31&gt;0,'ن-فرعي'!I31,"")</f>
        <v>59397.04</v>
      </c>
      <c r="H7" s="167">
        <f t="shared" si="0"/>
        <v>0.81561698529411775</v>
      </c>
      <c r="I7" s="168">
        <f t="shared" si="1"/>
        <v>1.5525124566118017E-2</v>
      </c>
    </row>
    <row r="8" spans="2:9" x14ac:dyDescent="0.2">
      <c r="B8" s="319" t="str">
        <f>'ن-فرعي'!B32:E32</f>
        <v>مجموع الفصل الأول: الرواتب والعلاوات والمكافآت</v>
      </c>
      <c r="C8" s="319"/>
      <c r="D8" s="57">
        <f>SUM(D4:D7)</f>
        <v>22113775</v>
      </c>
      <c r="E8" s="57">
        <f t="shared" ref="E8:G8" si="2">SUM(E4:E7)</f>
        <v>22113775</v>
      </c>
      <c r="F8" s="57">
        <f t="shared" si="2"/>
        <v>20328971.589000002</v>
      </c>
      <c r="G8" s="57">
        <f t="shared" si="2"/>
        <v>59397.04</v>
      </c>
      <c r="H8" s="167">
        <f t="shared" si="0"/>
        <v>0.91928997147705449</v>
      </c>
      <c r="I8" s="168">
        <f t="shared" si="1"/>
        <v>0.56905642114544852</v>
      </c>
    </row>
    <row r="9" spans="2:9" x14ac:dyDescent="0.2">
      <c r="B9" s="95">
        <v>21101000</v>
      </c>
      <c r="C9" s="3" t="str">
        <f>'ن-فرعي'!C34:I34</f>
        <v>مساهمة الجامعة في صندوق الادخار</v>
      </c>
      <c r="D9" s="12">
        <f>IF('ن-فرعي'!F36&gt;0,'ن-فرعي'!F36,"")</f>
        <v>320000</v>
      </c>
      <c r="E9" s="12">
        <f>IF('ن-فرعي'!G36&gt;0,'ن-فرعي'!G36,"")</f>
        <v>355000</v>
      </c>
      <c r="F9" s="177">
        <f>IF('ن-فرعي'!H36&gt;0,'ن-فرعي'!H36,"")</f>
        <v>354687.69799999997</v>
      </c>
      <c r="G9" s="12" t="str">
        <f>IF('ن-فرعي'!I36&gt;0,'ن-فرعي'!I36,"")</f>
        <v/>
      </c>
      <c r="H9" s="167">
        <f t="shared" si="0"/>
        <v>0.99912027605633791</v>
      </c>
      <c r="I9" s="168">
        <f t="shared" si="1"/>
        <v>9.9285549770462434E-3</v>
      </c>
    </row>
    <row r="10" spans="2:9" x14ac:dyDescent="0.2">
      <c r="B10" s="95">
        <v>21102000</v>
      </c>
      <c r="C10" s="3" t="str">
        <f>'ن-فرعي'!C37:I37</f>
        <v>مساهمة الجامعة في الضمان الاجتماعي</v>
      </c>
      <c r="D10" s="12">
        <f>IF('ن-فرعي'!F39&gt;0,'ن-فرعي'!F39,"")</f>
        <v>1900000</v>
      </c>
      <c r="E10" s="12">
        <f>IF('ن-فرعي'!G39&gt;0,'ن-فرعي'!G39,"")</f>
        <v>1900000</v>
      </c>
      <c r="F10" s="177">
        <f>IF('ن-فرعي'!H39&gt;0,'ن-فرعي'!H39,"")</f>
        <v>1875770.15</v>
      </c>
      <c r="G10" s="12" t="str">
        <f>IF('ن-فرعي'!I39&gt;0,'ن-فرعي'!I39,"")</f>
        <v/>
      </c>
      <c r="H10" s="167">
        <f t="shared" si="0"/>
        <v>0.98724744736842096</v>
      </c>
      <c r="I10" s="168">
        <f t="shared" si="1"/>
        <v>5.2507282219236368E-2</v>
      </c>
    </row>
    <row r="11" spans="2:9" x14ac:dyDescent="0.2">
      <c r="B11" s="95">
        <v>21103000</v>
      </c>
      <c r="C11" s="3" t="str">
        <f>'ن-فرعي'!C40:I40</f>
        <v>مساهمة الجامعة في التامين الصحي للعاملين</v>
      </c>
      <c r="D11" s="12">
        <f>IF('ن-فرعي'!F42&gt;0,'ن-فرعي'!F42,"")</f>
        <v>1200000</v>
      </c>
      <c r="E11" s="12">
        <f>IF('ن-فرعي'!G42&gt;0,'ن-فرعي'!G42,"")</f>
        <v>1200000</v>
      </c>
      <c r="F11" s="177">
        <f>IF('ن-فرعي'!H42&gt;0,'ن-فرعي'!H42,"")</f>
        <v>862388.85900000005</v>
      </c>
      <c r="G11" s="12" t="str">
        <f>IF('ن-فرعي'!I42&gt;0,'ن-فرعي'!I42,"")</f>
        <v/>
      </c>
      <c r="H11" s="167">
        <f t="shared" si="0"/>
        <v>0.7186573825</v>
      </c>
      <c r="I11" s="168">
        <f t="shared" si="1"/>
        <v>2.4140321884447431E-2</v>
      </c>
    </row>
    <row r="12" spans="2:9" x14ac:dyDescent="0.2">
      <c r="B12" s="95">
        <v>21104000</v>
      </c>
      <c r="C12" s="3" t="str">
        <f>'ن-فرعي'!C43:I43</f>
        <v>مساهمة الجامعة في التامين على حياة العاملين</v>
      </c>
      <c r="D12" s="12">
        <f>IF('ن-فرعي'!F45&gt;0,'ن-فرعي'!F45,"")</f>
        <v>30000</v>
      </c>
      <c r="E12" s="12">
        <f>IF('ن-فرعي'!G45&gt;0,'ن-فرعي'!G45,"")</f>
        <v>30000</v>
      </c>
      <c r="F12" s="177" t="str">
        <f>IF('ن-فرعي'!H45&gt;0,'ن-فرعي'!H45,"")</f>
        <v/>
      </c>
      <c r="G12" s="12" t="str">
        <f>IF('ن-فرعي'!I45&gt;0,'ن-فرعي'!I45,"")</f>
        <v/>
      </c>
      <c r="H12" s="167" t="str">
        <f t="shared" si="0"/>
        <v/>
      </c>
      <c r="I12" s="168" t="str">
        <f t="shared" si="1"/>
        <v/>
      </c>
    </row>
    <row r="13" spans="2:9" x14ac:dyDescent="0.2">
      <c r="B13" s="95">
        <v>21105000</v>
      </c>
      <c r="C13" s="3" t="str">
        <f>'ن-فرعي'!C46:I46</f>
        <v>مساهمة الجامعة في مكافأة نهاية الخدمة للعاملين</v>
      </c>
      <c r="D13" s="12">
        <f>IF('ن-فرعي'!F48&gt;0,'ن-فرعي'!F48,"")</f>
        <v>1000000</v>
      </c>
      <c r="E13" s="12">
        <f>IF('ن-فرعي'!G48&gt;0,'ن-فرعي'!G48,"")</f>
        <v>965000</v>
      </c>
      <c r="F13" s="177">
        <f>IF('ن-فرعي'!H48&gt;0,'ن-فرعي'!H48,"")</f>
        <v>852095.99</v>
      </c>
      <c r="G13" s="12" t="str">
        <f>IF('ن-فرعي'!I48&gt;0,'ن-فرعي'!I48,"")</f>
        <v/>
      </c>
      <c r="H13" s="167">
        <f t="shared" si="0"/>
        <v>0.88300102590673579</v>
      </c>
      <c r="I13" s="168">
        <f t="shared" si="1"/>
        <v>2.3852199921621318E-2</v>
      </c>
    </row>
    <row r="14" spans="2:9" x14ac:dyDescent="0.2">
      <c r="B14" s="319" t="str">
        <f>'ن-فرعي'!B49:E49</f>
        <v>مجموع الفصل الثاني: التعويضات والتأمينات للعاملين</v>
      </c>
      <c r="C14" s="319"/>
      <c r="D14" s="57">
        <f>SUM(D9:D13)</f>
        <v>4450000</v>
      </c>
      <c r="E14" s="57">
        <f t="shared" ref="E14:G14" si="3">SUM(E9:E13)</f>
        <v>4450000</v>
      </c>
      <c r="F14" s="57">
        <f t="shared" si="3"/>
        <v>3944942.6969999997</v>
      </c>
      <c r="G14" s="57">
        <f t="shared" si="3"/>
        <v>0</v>
      </c>
      <c r="H14" s="167">
        <f t="shared" si="0"/>
        <v>0.88650397685393256</v>
      </c>
      <c r="I14" s="168">
        <f t="shared" si="1"/>
        <v>0.11042835900235135</v>
      </c>
    </row>
    <row r="15" spans="2:9" x14ac:dyDescent="0.2">
      <c r="B15" s="95">
        <v>21603000</v>
      </c>
      <c r="C15" s="3" t="str">
        <f>'ن-فرعي'!C51:I51</f>
        <v>صيانة المختبرات العلمية وديمومة الأجهزة والبنية الحاسوبية</v>
      </c>
      <c r="D15" s="12">
        <f>IF('ن-فرعي'!F55&gt;0,'ن-فرعي'!F55,"")</f>
        <v>195000</v>
      </c>
      <c r="E15" s="12">
        <f>IF('ن-فرعي'!G55&gt;0,'ن-فرعي'!G55,"")</f>
        <v>195000</v>
      </c>
      <c r="F15" s="177">
        <f>IF('ن-فرعي'!H55&gt;0,'ن-فرعي'!H55,"")</f>
        <v>10099.609</v>
      </c>
      <c r="G15" s="12">
        <f>IF('ن-فرعي'!I55&gt;0,'ن-فرعي'!I55,"")</f>
        <v>120000</v>
      </c>
      <c r="H15" s="167">
        <f t="shared" si="0"/>
        <v>5.1792866666666666E-2</v>
      </c>
      <c r="I15" s="168">
        <f t="shared" si="1"/>
        <v>2.8271215429403205E-4</v>
      </c>
    </row>
    <row r="16" spans="2:9" x14ac:dyDescent="0.2">
      <c r="B16" s="95">
        <v>21604000</v>
      </c>
      <c r="C16" s="3" t="str">
        <f>'ن-فرعي'!C56:I56</f>
        <v>مواد ولوازم الصيانة العامة</v>
      </c>
      <c r="D16" s="12">
        <f>IF('ن-فرعي'!F62&gt;0,'ن-فرعي'!F62,"")</f>
        <v>216500</v>
      </c>
      <c r="E16" s="12">
        <f>IF('ن-فرعي'!G62&gt;0,'ن-فرعي'!G62,"")</f>
        <v>216500</v>
      </c>
      <c r="F16" s="177">
        <f>IF('ن-فرعي'!H62&gt;0,'ن-فرعي'!H62,"")</f>
        <v>34002.529000000002</v>
      </c>
      <c r="G16" s="12">
        <f>IF('ن-فرعي'!I62&gt;0,'ن-فرعي'!I62,"")</f>
        <v>147387.69200000001</v>
      </c>
      <c r="H16" s="167">
        <f t="shared" si="0"/>
        <v>0.15705556120092379</v>
      </c>
      <c r="I16" s="168">
        <f t="shared" si="1"/>
        <v>9.5181191915798909E-4</v>
      </c>
    </row>
    <row r="17" spans="2:9" x14ac:dyDescent="0.2">
      <c r="B17" s="95">
        <v>21605000</v>
      </c>
      <c r="C17" s="3" t="str">
        <f>'ن-فرعي'!C63:I63</f>
        <v>مواد ولوازم النظافة العامة والوقاية الصحية</v>
      </c>
      <c r="D17" s="12">
        <f>IF('ن-فرعي'!F65&gt;0,'ن-فرعي'!F65,"")</f>
        <v>50000</v>
      </c>
      <c r="E17" s="12">
        <f>IF('ن-فرعي'!G65&gt;0,'ن-فرعي'!G65,"")</f>
        <v>50000</v>
      </c>
      <c r="F17" s="177">
        <f>IF('ن-فرعي'!H65&gt;0,'ن-فرعي'!H65,"")</f>
        <v>2391.7559999999999</v>
      </c>
      <c r="G17" s="12" t="str">
        <f>IF('ن-فرعي'!I65&gt;0,'ن-فرعي'!I65,"")</f>
        <v/>
      </c>
      <c r="H17" s="167">
        <f t="shared" si="0"/>
        <v>4.7835119999999995E-2</v>
      </c>
      <c r="I17" s="168">
        <f t="shared" si="1"/>
        <v>6.6950957339603629E-5</v>
      </c>
    </row>
    <row r="18" spans="2:9" x14ac:dyDescent="0.2">
      <c r="B18" s="95">
        <v>21606000</v>
      </c>
      <c r="C18" s="3" t="str">
        <f>'ن-فرعي'!C66:I66</f>
        <v xml:space="preserve">ملابس المستخدمين </v>
      </c>
      <c r="D18" s="12">
        <f>IF('ن-فرعي'!F70&gt;0,'ن-فرعي'!F70,"")</f>
        <v>37500</v>
      </c>
      <c r="E18" s="12">
        <f>IF('ن-فرعي'!G70&gt;0,'ن-فرعي'!G70,"")</f>
        <v>37500</v>
      </c>
      <c r="F18" s="177" t="str">
        <f>IF('ن-فرعي'!H70&gt;0,'ن-فرعي'!H70,"")</f>
        <v/>
      </c>
      <c r="G18" s="12" t="str">
        <f>IF('ن-فرعي'!I70&gt;0,'ن-فرعي'!I70,"")</f>
        <v/>
      </c>
      <c r="H18" s="167" t="str">
        <f t="shared" si="0"/>
        <v/>
      </c>
      <c r="I18" s="168" t="str">
        <f t="shared" si="1"/>
        <v/>
      </c>
    </row>
    <row r="19" spans="2:9" x14ac:dyDescent="0.2">
      <c r="B19" s="95">
        <v>21607000</v>
      </c>
      <c r="C19" s="3" t="str">
        <f>'ن-فرعي'!C71:I71</f>
        <v>قرطاسية وأحبار ولوازم مكتبية</v>
      </c>
      <c r="D19" s="12">
        <f>IF('ن-فرعي'!F75&gt;0,'ن-فرعي'!F75,"")</f>
        <v>92000</v>
      </c>
      <c r="E19" s="12">
        <f>IF('ن-فرعي'!G75&gt;0,'ن-فرعي'!G75,"")</f>
        <v>92000</v>
      </c>
      <c r="F19" s="177">
        <f>IF('ن-فرعي'!H75&gt;0,'ن-فرعي'!H75,"")</f>
        <v>5870.4760000000006</v>
      </c>
      <c r="G19" s="12">
        <f>IF('ن-فرعي'!I75&gt;0,'ن-فرعي'!I75,"")</f>
        <v>19520.243999999999</v>
      </c>
      <c r="H19" s="167">
        <f t="shared" si="0"/>
        <v>6.3809521739130445E-2</v>
      </c>
      <c r="I19" s="168">
        <f t="shared" si="1"/>
        <v>1.6432863061247342E-4</v>
      </c>
    </row>
    <row r="20" spans="2:9" x14ac:dyDescent="0.2">
      <c r="B20" s="95">
        <v>21609000</v>
      </c>
      <c r="C20" s="3" t="str">
        <f>'ن-فرعي'!C76:I76</f>
        <v>مواد ولوازم زراعية وتجميل الحرم الجامعي وصيانة شبكات وقطع غيار زراعية</v>
      </c>
      <c r="D20" s="12">
        <f>IF('ن-فرعي'!F79&gt;0,'ن-فرعي'!F79,"")</f>
        <v>40000</v>
      </c>
      <c r="E20" s="12">
        <f>IF('ن-فرعي'!G79&gt;0,'ن-فرعي'!G79,"")</f>
        <v>40000</v>
      </c>
      <c r="F20" s="177">
        <f>IF('ن-فرعي'!H79&gt;0,'ن-فرعي'!H79,"")</f>
        <v>715.5</v>
      </c>
      <c r="G20" s="12" t="str">
        <f>IF('ن-فرعي'!I79&gt;0,'ن-فرعي'!I79,"")</f>
        <v/>
      </c>
      <c r="H20" s="167">
        <f t="shared" si="0"/>
        <v>1.7887500000000001E-2</v>
      </c>
      <c r="I20" s="168">
        <f t="shared" si="1"/>
        <v>2.0028552233792408E-5</v>
      </c>
    </row>
    <row r="21" spans="2:9" x14ac:dyDescent="0.2">
      <c r="B21" s="95">
        <v>21610000</v>
      </c>
      <c r="C21" s="3" t="str">
        <f>'ن-فرعي'!C80:I80</f>
        <v>لوازم عامة</v>
      </c>
      <c r="D21" s="12">
        <f>IF('ن-فرعي'!F82&gt;0,'ن-فرعي'!F82,"")</f>
        <v>4000</v>
      </c>
      <c r="E21" s="12">
        <f>IF('ن-فرعي'!G82&gt;0,'ن-فرعي'!G82,"")</f>
        <v>4000</v>
      </c>
      <c r="F21" s="177" t="str">
        <f>IF('ن-فرعي'!H82&gt;0,'ن-فرعي'!H82,"")</f>
        <v/>
      </c>
      <c r="G21" s="12" t="str">
        <f>IF('ن-فرعي'!I82&gt;0,'ن-فرعي'!I82,"")</f>
        <v/>
      </c>
      <c r="H21" s="167" t="str">
        <f t="shared" si="0"/>
        <v/>
      </c>
      <c r="I21" s="168" t="str">
        <f t="shared" si="1"/>
        <v/>
      </c>
    </row>
    <row r="22" spans="2:9" x14ac:dyDescent="0.2">
      <c r="B22" s="319" t="str">
        <f>'ن-فرعي'!B83:E83</f>
        <v>مجموع الفصل الثالث: اللوازم والمهمات والصيانة</v>
      </c>
      <c r="C22" s="319"/>
      <c r="D22" s="57">
        <f>SUM(D15:D21)</f>
        <v>635000</v>
      </c>
      <c r="E22" s="57">
        <f t="shared" ref="E22:G22" si="4">SUM(E15:E21)</f>
        <v>635000</v>
      </c>
      <c r="F22" s="57">
        <f t="shared" si="4"/>
        <v>53079.87000000001</v>
      </c>
      <c r="G22" s="57">
        <f t="shared" si="4"/>
        <v>286907.93600000005</v>
      </c>
      <c r="H22" s="167">
        <f t="shared" si="0"/>
        <v>8.3590346456692929E-2</v>
      </c>
      <c r="I22" s="168">
        <f t="shared" si="1"/>
        <v>1.4858322136378907E-3</v>
      </c>
    </row>
    <row r="23" spans="2:9" x14ac:dyDescent="0.2">
      <c r="B23" s="95">
        <v>22601000</v>
      </c>
      <c r="C23" s="3" t="str">
        <f>'ن-فرعي'!C85:I85</f>
        <v>النشاطات الطلابية المختلفة ومستلزمات عمادة شؤون الطلبة</v>
      </c>
      <c r="D23" s="12">
        <f>IF('ن-فرعي'!F91&gt;0,'ن-فرعي'!F91,"")</f>
        <v>69000</v>
      </c>
      <c r="E23" s="12">
        <f>IF('ن-فرعي'!G91&gt;0,'ن-فرعي'!G91,"")</f>
        <v>69000</v>
      </c>
      <c r="F23" s="177">
        <f>IF('ن-فرعي'!H91&gt;0,'ن-فرعي'!H91,"")</f>
        <v>3699.9960000000001</v>
      </c>
      <c r="G23" s="12">
        <f>IF('ن-فرعي'!I91&gt;0,'ن-فرعي'!I91,"")</f>
        <v>393.75</v>
      </c>
      <c r="H23" s="167">
        <f t="shared" si="0"/>
        <v>5.3623130434782611E-2</v>
      </c>
      <c r="I23" s="168">
        <f t="shared" si="1"/>
        <v>1.0357171649311388E-4</v>
      </c>
    </row>
    <row r="24" spans="2:9" x14ac:dyDescent="0.2">
      <c r="B24" s="95">
        <v>22602000</v>
      </c>
      <c r="C24" s="3" t="str">
        <f>'ن-فرعي'!C92:I92</f>
        <v>دعم صناديق الطلبة</v>
      </c>
      <c r="D24" s="12">
        <f>IF('ن-فرعي'!F94&gt;0,'ن-فرعي'!F94,"")</f>
        <v>100000</v>
      </c>
      <c r="E24" s="12">
        <f>IF('ن-فرعي'!G94&gt;0,'ن-فرعي'!G94,"")</f>
        <v>100000</v>
      </c>
      <c r="F24" s="177">
        <f>IF('ن-فرعي'!H94&gt;0,'ن-فرعي'!H94,"")</f>
        <v>13125</v>
      </c>
      <c r="G24" s="12" t="str">
        <f>IF('ن-فرعي'!I94&gt;0,'ن-فرعي'!I94,"")</f>
        <v/>
      </c>
      <c r="H24" s="167">
        <f t="shared" si="0"/>
        <v>0.13125000000000001</v>
      </c>
      <c r="I24" s="168">
        <f t="shared" si="1"/>
        <v>3.6740006718172658E-4</v>
      </c>
    </row>
    <row r="25" spans="2:9" x14ac:dyDescent="0.2">
      <c r="B25" s="95">
        <v>22603000</v>
      </c>
      <c r="C25" s="3" t="str">
        <f>'ن-فرعي'!C95:I95</f>
        <v>التأمين الصحي للطلبة</v>
      </c>
      <c r="D25" s="12">
        <f>IF('ن-فرعي'!F97&gt;0,'ن-فرعي'!F97,"")</f>
        <v>120000</v>
      </c>
      <c r="E25" s="12">
        <f>IF('ن-فرعي'!G97&gt;0,'ن-فرعي'!G97,"")</f>
        <v>120000</v>
      </c>
      <c r="F25" s="177">
        <f>IF('ن-فرعي'!H97&gt;0,'ن-فرعي'!H97,"")</f>
        <v>43872.08</v>
      </c>
      <c r="G25" s="12">
        <f>IF('ن-فرعي'!I97&gt;0,'ن-فرعي'!I97,"")</f>
        <v>1</v>
      </c>
      <c r="H25" s="167">
        <f t="shared" si="0"/>
        <v>0.36560066666666668</v>
      </c>
      <c r="I25" s="168">
        <f t="shared" si="1"/>
        <v>1.2280842010973015E-3</v>
      </c>
    </row>
    <row r="26" spans="2:9" x14ac:dyDescent="0.2">
      <c r="B26" s="95">
        <v>22604000</v>
      </c>
      <c r="C26" s="3" t="str">
        <f>'ن-فرعي'!C98:I98</f>
        <v>التأمين على حياة الطلبة</v>
      </c>
      <c r="D26" s="12">
        <f>IF('ن-فرعي'!F100&gt;0,'ن-فرعي'!F100,"")</f>
        <v>25000</v>
      </c>
      <c r="E26" s="12">
        <f>IF('ن-فرعي'!G100&gt;0,'ن-فرعي'!G100,"")</f>
        <v>25000</v>
      </c>
      <c r="F26" s="177" t="str">
        <f>IF('ن-فرعي'!H100&gt;0,'ن-فرعي'!H100,"")</f>
        <v/>
      </c>
      <c r="G26" s="12">
        <f>IF('ن-فرعي'!I100&gt;0,'ن-فرعي'!I100,"")</f>
        <v>20001</v>
      </c>
      <c r="H26" s="167" t="str">
        <f t="shared" si="0"/>
        <v/>
      </c>
      <c r="I26" s="168" t="str">
        <f t="shared" si="1"/>
        <v/>
      </c>
    </row>
    <row r="27" spans="2:9" x14ac:dyDescent="0.2">
      <c r="B27" s="95">
        <v>22605000</v>
      </c>
      <c r="C27" s="3" t="str">
        <f>'ن-فرعي'!C101:I101</f>
        <v>المطبوعات والنشرات الطلابية</v>
      </c>
      <c r="D27" s="12">
        <f>IF('ن-فرعي'!F104&gt;0,'ن-فرعي'!F104,"")</f>
        <v>20000</v>
      </c>
      <c r="E27" s="12">
        <f>IF('ن-فرعي'!G104&gt;0,'ن-فرعي'!G104,"")</f>
        <v>20000</v>
      </c>
      <c r="F27" s="177" t="str">
        <f>IF('ن-فرعي'!H104&gt;0,'ن-فرعي'!H104,"")</f>
        <v/>
      </c>
      <c r="G27" s="12" t="str">
        <f>IF('ن-فرعي'!I104&gt;0,'ن-فرعي'!I104,"")</f>
        <v/>
      </c>
      <c r="H27" s="167" t="str">
        <f t="shared" si="0"/>
        <v/>
      </c>
      <c r="I27" s="168" t="str">
        <f t="shared" si="1"/>
        <v/>
      </c>
    </row>
    <row r="28" spans="2:9" x14ac:dyDescent="0.2">
      <c r="B28" s="95">
        <v>22607000</v>
      </c>
      <c r="C28" s="3" t="str">
        <f>'ن-فرعي'!C105:I105</f>
        <v>مساهمة الجامعة في موازنة مجلس الطلبة</v>
      </c>
      <c r="D28" s="12">
        <f>IF('ن-فرعي'!F107&gt;0,'ن-فرعي'!F107,"")</f>
        <v>2000</v>
      </c>
      <c r="E28" s="12">
        <f>IF('ن-فرعي'!G107&gt;0,'ن-فرعي'!G107,"")</f>
        <v>2000</v>
      </c>
      <c r="F28" s="177" t="str">
        <f>IF('ن-فرعي'!H107&gt;0,'ن-فرعي'!H107,"")</f>
        <v/>
      </c>
      <c r="G28" s="12" t="str">
        <f>IF('ن-فرعي'!I107&gt;0,'ن-فرعي'!I107,"")</f>
        <v/>
      </c>
      <c r="H28" s="167" t="str">
        <f t="shared" si="0"/>
        <v/>
      </c>
      <c r="I28" s="168" t="str">
        <f t="shared" si="1"/>
        <v/>
      </c>
    </row>
    <row r="29" spans="2:9" x14ac:dyDescent="0.2">
      <c r="B29" s="95">
        <v>22608000</v>
      </c>
      <c r="C29" s="3" t="str">
        <f>'ن-فرعي'!C108:I108</f>
        <v>بدلات الاعتماد العام والخاص</v>
      </c>
      <c r="D29" s="12">
        <f>IF('ن-فرعي'!F110&gt;0,'ن-فرعي'!F110,"")</f>
        <v>90000</v>
      </c>
      <c r="E29" s="12">
        <f>IF('ن-فرعي'!G110&gt;0,'ن-فرعي'!G110,"")</f>
        <v>90000</v>
      </c>
      <c r="F29" s="177">
        <f>IF('ن-فرعي'!H110&gt;0,'ن-فرعي'!H110,"")</f>
        <v>28000</v>
      </c>
      <c r="G29" s="12" t="str">
        <f>IF('ن-فرعي'!I110&gt;0,'ن-فرعي'!I110,"")</f>
        <v/>
      </c>
      <c r="H29" s="167">
        <f t="shared" si="0"/>
        <v>0.31111111111111112</v>
      </c>
      <c r="I29" s="168">
        <f t="shared" si="1"/>
        <v>7.8378680998768334E-4</v>
      </c>
    </row>
    <row r="30" spans="2:9" x14ac:dyDescent="0.2">
      <c r="B30" s="95">
        <v>22609000</v>
      </c>
      <c r="C30" s="3" t="str">
        <f>'ن-فرعي'!C111:I111</f>
        <v>مساهمة الجامعة في تطوير مكتب الإرشاد الوظيفي ومتابعة الخريجين</v>
      </c>
      <c r="D30" s="12">
        <f>IF('ن-فرعي'!F113&gt;0,'ن-فرعي'!F113,"")</f>
        <v>5000</v>
      </c>
      <c r="E30" s="12">
        <f>IF('ن-فرعي'!G113&gt;0,'ن-فرعي'!G113,"")</f>
        <v>5000</v>
      </c>
      <c r="F30" s="177">
        <f>IF('ن-فرعي'!H113&gt;0,'ن-فرعي'!H113,"")</f>
        <v>520</v>
      </c>
      <c r="G30" s="12" t="str">
        <f>IF('ن-فرعي'!I113&gt;0,'ن-فرعي'!I113,"")</f>
        <v/>
      </c>
      <c r="H30" s="167">
        <f t="shared" si="0"/>
        <v>0.104</v>
      </c>
      <c r="I30" s="168">
        <f t="shared" si="1"/>
        <v>1.4556040756914119E-5</v>
      </c>
    </row>
    <row r="31" spans="2:9" x14ac:dyDescent="0.2">
      <c r="B31" s="319" t="str">
        <f>'ن-فرعي'!B114:E114</f>
        <v>مجموع الفصل الرابع: دعم الصناديق والخدمات والنشاطات الطلابية</v>
      </c>
      <c r="C31" s="319"/>
      <c r="D31" s="57">
        <f t="shared" ref="D31:G31" si="5">SUM(D23:D30)</f>
        <v>431000</v>
      </c>
      <c r="E31" s="57">
        <f t="shared" si="5"/>
        <v>431000</v>
      </c>
      <c r="F31" s="57">
        <f t="shared" si="5"/>
        <v>89217.076000000001</v>
      </c>
      <c r="G31" s="57">
        <f t="shared" si="5"/>
        <v>20395.75</v>
      </c>
      <c r="H31" s="167">
        <f t="shared" si="0"/>
        <v>0.20700017633410672</v>
      </c>
      <c r="I31" s="168">
        <f t="shared" si="1"/>
        <v>2.4973988355167396E-3</v>
      </c>
    </row>
    <row r="32" spans="2:9" x14ac:dyDescent="0.2">
      <c r="B32" s="95">
        <v>23601000</v>
      </c>
      <c r="C32" s="3" t="str">
        <f>'ن-فرعي'!C116:I116</f>
        <v>النفقات الاستهلاكية المشتركة</v>
      </c>
      <c r="D32" s="12">
        <f>IF('ن-فرعي'!F124&gt;0,'ن-فرعي'!F124,"")</f>
        <v>900000</v>
      </c>
      <c r="E32" s="12">
        <f>IF('ن-فرعي'!G124&gt;0,'ن-فرعي'!G124,"")</f>
        <v>1090000</v>
      </c>
      <c r="F32" s="177">
        <f>IF('ن-فرعي'!H124&gt;0,'ن-فرعي'!H124,"")</f>
        <v>303578.85299999994</v>
      </c>
      <c r="G32" s="12">
        <f>IF('ن-فرعي'!I124&gt;0,'ن-فرعي'!I124,"")</f>
        <v>506999.62</v>
      </c>
      <c r="H32" s="167">
        <f t="shared" si="0"/>
        <v>0.27851270917431187</v>
      </c>
      <c r="I32" s="168">
        <f t="shared" si="1"/>
        <v>8.4978964561639222E-3</v>
      </c>
    </row>
    <row r="33" spans="2:9" x14ac:dyDescent="0.2">
      <c r="B33" s="95">
        <v>23602000</v>
      </c>
      <c r="C33" s="3" t="str">
        <f>'ن-فرعي'!C125:I125</f>
        <v>تأمين موجودات الجامعة المنقولة وغير المنقولة</v>
      </c>
      <c r="D33" s="12">
        <f>IF('ن-فرعي'!F129&gt;0,'ن-فرعي'!F129,"")</f>
        <v>56000</v>
      </c>
      <c r="E33" s="12">
        <f>IF('ن-فرعي'!G129&gt;0,'ن-فرعي'!G129,"")</f>
        <v>16000</v>
      </c>
      <c r="F33" s="177">
        <f>IF('ن-فرعي'!H129&gt;0,'ن-فرعي'!H129,"")</f>
        <v>578</v>
      </c>
      <c r="G33" s="12" t="str">
        <f>IF('ن-فرعي'!I129&gt;0,'ن-فرعي'!I129,"")</f>
        <v/>
      </c>
      <c r="H33" s="167">
        <f t="shared" si="0"/>
        <v>3.6124999999999997E-2</v>
      </c>
      <c r="I33" s="168">
        <f t="shared" si="1"/>
        <v>1.6179599149031463E-5</v>
      </c>
    </row>
    <row r="34" spans="2:9" x14ac:dyDescent="0.2">
      <c r="B34" s="95">
        <v>23603000</v>
      </c>
      <c r="C34" s="3" t="str">
        <f>'ن-فرعي'!C130:I130</f>
        <v>نفقات الوفود الرسمية والضيافة</v>
      </c>
      <c r="D34" s="12">
        <f>IF('ن-فرعي'!F134&gt;0,'ن-فرعي'!F134,"")</f>
        <v>19725</v>
      </c>
      <c r="E34" s="12">
        <f>IF('ن-فرعي'!G134&gt;0,'ن-فرعي'!G134,"")</f>
        <v>19725</v>
      </c>
      <c r="F34" s="177">
        <f>IF('ن-فرعي'!H134&gt;0,'ن-فرعي'!H134,"")</f>
        <v>5515.0890000000009</v>
      </c>
      <c r="G34" s="12" t="str">
        <f>IF('ن-فرعي'!I134&gt;0,'ن-فرعي'!I134,"")</f>
        <v/>
      </c>
      <c r="H34" s="167">
        <f t="shared" si="0"/>
        <v>0.27959893536121677</v>
      </c>
      <c r="I34" s="168">
        <f t="shared" si="1"/>
        <v>1.5438050050386296E-4</v>
      </c>
    </row>
    <row r="35" spans="2:9" x14ac:dyDescent="0.2">
      <c r="B35" s="95">
        <v>23604000</v>
      </c>
      <c r="C35" s="3" t="str">
        <f>'ن-فرعي'!C135:I135</f>
        <v>نفقات الآليات والمركبات</v>
      </c>
      <c r="D35" s="12">
        <f>IF('ن-فرعي'!F139&gt;0,'ن-فرعي'!F139,"")</f>
        <v>122000</v>
      </c>
      <c r="E35" s="12">
        <f>IF('ن-فرعي'!G139&gt;0,'ن-فرعي'!G139,"")</f>
        <v>32000</v>
      </c>
      <c r="F35" s="177">
        <f>IF('ن-فرعي'!H139&gt;0,'ن-فرعي'!H139,"")</f>
        <v>3391.5</v>
      </c>
      <c r="G35" s="12" t="str">
        <f>IF('ن-فرعي'!I139&gt;0,'ن-فرعي'!I139,"")</f>
        <v/>
      </c>
      <c r="H35" s="167">
        <f t="shared" si="0"/>
        <v>0.10598437500000001</v>
      </c>
      <c r="I35" s="168">
        <f t="shared" si="1"/>
        <v>9.4936177359758147E-5</v>
      </c>
    </row>
    <row r="36" spans="2:9" x14ac:dyDescent="0.2">
      <c r="B36" s="95">
        <v>23605000</v>
      </c>
      <c r="C36" s="3" t="str">
        <f>'ن-فرعي'!C140:I140</f>
        <v>اعلانات ومطبوعات والنشرات</v>
      </c>
      <c r="D36" s="12">
        <f>IF('ن-فرعي'!F143&gt;0,'ن-فرعي'!F143,"")</f>
        <v>11000</v>
      </c>
      <c r="E36" s="12">
        <f>IF('ن-فرعي'!G143&gt;0,'ن-فرعي'!G143,"")</f>
        <v>11000</v>
      </c>
      <c r="F36" s="177">
        <f>IF('ن-فرعي'!H143&gt;0,'ن-فرعي'!H143,"")</f>
        <v>10121.06</v>
      </c>
      <c r="G36" s="12" t="str">
        <f>IF('ن-فرعي'!I143&gt;0,'ن-فرعي'!I143,"")</f>
        <v/>
      </c>
      <c r="H36" s="167">
        <f t="shared" si="0"/>
        <v>0.9200963636363636</v>
      </c>
      <c r="I36" s="168">
        <f t="shared" si="1"/>
        <v>2.8331261896764079E-4</v>
      </c>
    </row>
    <row r="37" spans="2:9" x14ac:dyDescent="0.2">
      <c r="B37" s="95">
        <v>23606000</v>
      </c>
      <c r="C37" s="3" t="str">
        <f>'ن-فرعي'!C144:I144</f>
        <v>العقود والاشتراكات في شبكات المعلومات الدولية والمحلية</v>
      </c>
      <c r="D37" s="12">
        <f>IF('ن-فرعي'!F148&gt;0,'ن-فرعي'!F148,"")</f>
        <v>83000</v>
      </c>
      <c r="E37" s="12">
        <f>IF('ن-فرعي'!G148&gt;0,'ن-فرعي'!G148,"")</f>
        <v>83000</v>
      </c>
      <c r="F37" s="177">
        <f>IF('ن-فرعي'!H148&gt;0,'ن-فرعي'!H148,"")</f>
        <v>44582.983999999997</v>
      </c>
      <c r="G37" s="12" t="str">
        <f>IF('ن-فرعي'!I148&gt;0,'ن-فرعي'!I148,"")</f>
        <v/>
      </c>
      <c r="H37" s="167">
        <f t="shared" si="0"/>
        <v>0.53714438554216859</v>
      </c>
      <c r="I37" s="168">
        <f t="shared" si="1"/>
        <v>1.2479841003247116E-3</v>
      </c>
    </row>
    <row r="38" spans="2:9" x14ac:dyDescent="0.2">
      <c r="B38" s="95">
        <v>23615000</v>
      </c>
      <c r="C38" s="3" t="str">
        <f>'ن-فرعي'!C149:I149</f>
        <v>لوازم ومشتريات ونفقات متنوعة</v>
      </c>
      <c r="D38" s="12">
        <f>IF('ن-فرعي'!F152&gt;0,'ن-فرعي'!F152,"")</f>
        <v>126000</v>
      </c>
      <c r="E38" s="12">
        <f>IF('ن-فرعي'!G152&gt;0,'ن-فرعي'!G152,"")</f>
        <v>66000</v>
      </c>
      <c r="F38" s="177">
        <f>IF('ن-فرعي'!H152&gt;0,'ن-فرعي'!H152,"")</f>
        <v>23168.85</v>
      </c>
      <c r="G38" s="12">
        <f>IF('ن-فرعي'!I152&gt;0,'ن-فرعي'!I152,"")</f>
        <v>7425</v>
      </c>
      <c r="H38" s="167">
        <f t="shared" si="0"/>
        <v>0.35104318181818178</v>
      </c>
      <c r="I38" s="168">
        <f t="shared" si="1"/>
        <v>6.4855139402082631E-4</v>
      </c>
    </row>
    <row r="39" spans="2:9" x14ac:dyDescent="0.2">
      <c r="B39" s="319" t="str">
        <f>'ن-فرعي'!B153:E153</f>
        <v>مجموع الفصل الخامس: النفقات العامة المشتركة</v>
      </c>
      <c r="C39" s="319"/>
      <c r="D39" s="57">
        <f>SUM(D32:D38)</f>
        <v>1317725</v>
      </c>
      <c r="E39" s="57">
        <f t="shared" ref="E39:G39" si="6">SUM(E32:E38)</f>
        <v>1317725</v>
      </c>
      <c r="F39" s="57">
        <f t="shared" si="6"/>
        <v>390936.33599999989</v>
      </c>
      <c r="G39" s="57">
        <f t="shared" si="6"/>
        <v>514424.62</v>
      </c>
      <c r="H39" s="167">
        <f t="shared" si="0"/>
        <v>0.29667520613178006</v>
      </c>
      <c r="I39" s="168">
        <f t="shared" si="1"/>
        <v>1.0943240846489751E-2</v>
      </c>
    </row>
    <row r="40" spans="2:9" x14ac:dyDescent="0.2">
      <c r="B40" s="95">
        <v>24601000</v>
      </c>
      <c r="C40" s="4" t="str">
        <f>'ن-فرعي'!C155:I155</f>
        <v>مساهمة الجامعة في الاتحادات العربية والدولية</v>
      </c>
      <c r="D40" s="12">
        <f>IF('ن-فرعي'!F163&gt;0,'ن-فرعي'!F163,"")</f>
        <v>23900</v>
      </c>
      <c r="E40" s="12">
        <f>IF('ن-فرعي'!G163&gt;0,'ن-فرعي'!G163,"")</f>
        <v>23900</v>
      </c>
      <c r="F40" s="177">
        <f>IF('ن-فرعي'!H163&gt;0,'ن-فرعي'!H163,"")</f>
        <v>11284.522999999999</v>
      </c>
      <c r="G40" s="12" t="str">
        <f>IF('ن-فرعي'!I163&gt;0,'ن-فرعي'!I163,"")</f>
        <v/>
      </c>
      <c r="H40" s="167">
        <f t="shared" si="0"/>
        <v>0.47215577405857739</v>
      </c>
      <c r="I40" s="168">
        <f t="shared" si="1"/>
        <v>3.1588072444295147E-4</v>
      </c>
    </row>
    <row r="41" spans="2:9" x14ac:dyDescent="0.2">
      <c r="B41" s="95">
        <v>24602000</v>
      </c>
      <c r="C41" s="4" t="str">
        <f>'ن-فرعي'!C164:I164</f>
        <v>مساهمة الجامعة في الروابط الجامعية العربية والدولية</v>
      </c>
      <c r="D41" s="12">
        <f>IF('ن-فرعي'!F169&gt;0,'ن-فرعي'!F169,"")</f>
        <v>21100</v>
      </c>
      <c r="E41" s="12">
        <f>IF('ن-فرعي'!G169&gt;0,'ن-فرعي'!G169,"")</f>
        <v>21100</v>
      </c>
      <c r="F41" s="177">
        <f>IF('ن-فرعي'!H169&gt;0,'ن-فرعي'!H169,"")</f>
        <v>15000</v>
      </c>
      <c r="G41" s="12" t="str">
        <f>IF('ن-فرعي'!I169&gt;0,'ن-فرعي'!I169,"")</f>
        <v/>
      </c>
      <c r="H41" s="167">
        <f t="shared" si="0"/>
        <v>0.7109004739336493</v>
      </c>
      <c r="I41" s="168">
        <f t="shared" si="1"/>
        <v>4.1988579106483039E-4</v>
      </c>
    </row>
    <row r="42" spans="2:9" x14ac:dyDescent="0.2">
      <c r="B42" s="95">
        <v>24605000</v>
      </c>
      <c r="C42" s="4" t="str">
        <f>'ن-فرعي'!C170:I170</f>
        <v>مساهمة الجامعة في النشاطات والخدمات الأخرى</v>
      </c>
      <c r="D42" s="12">
        <f>IF('ن-فرعي'!F180&gt;0,'ن-فرعي'!F180,"")</f>
        <v>49500</v>
      </c>
      <c r="E42" s="12">
        <f>IF('ن-فرعي'!G180&gt;0,'ن-فرعي'!G180,"")</f>
        <v>49500</v>
      </c>
      <c r="F42" s="177">
        <f>IF('ن-فرعي'!H180&gt;0,'ن-فرعي'!H180,"")</f>
        <v>40250</v>
      </c>
      <c r="G42" s="12" t="str">
        <f>IF('ن-فرعي'!I180&gt;0,'ن-فرعي'!I180,"")</f>
        <v/>
      </c>
      <c r="H42" s="167">
        <f t="shared" si="0"/>
        <v>0.81313131313131315</v>
      </c>
      <c r="I42" s="168">
        <f t="shared" si="1"/>
        <v>1.1266935393572947E-3</v>
      </c>
    </row>
    <row r="43" spans="2:9" x14ac:dyDescent="0.2">
      <c r="B43" s="319" t="str">
        <f>'ن-فرعي'!B181:E181</f>
        <v>مجموع الفصل السادس: المساهمات</v>
      </c>
      <c r="C43" s="319"/>
      <c r="D43" s="57">
        <f>SUM(D40:D42)</f>
        <v>94500</v>
      </c>
      <c r="E43" s="57">
        <f t="shared" ref="E43:G43" si="7">SUM(E40:E42)</f>
        <v>94500</v>
      </c>
      <c r="F43" s="57">
        <f t="shared" si="7"/>
        <v>66534.523000000001</v>
      </c>
      <c r="G43" s="57">
        <f t="shared" si="7"/>
        <v>0</v>
      </c>
      <c r="H43" s="167">
        <f t="shared" si="0"/>
        <v>0.70406902645502645</v>
      </c>
      <c r="I43" s="168">
        <f t="shared" si="1"/>
        <v>1.8624600548650767E-3</v>
      </c>
    </row>
    <row r="44" spans="2:9" x14ac:dyDescent="0.2">
      <c r="B44" s="95">
        <v>24701000</v>
      </c>
      <c r="C44" s="3" t="str">
        <f>'ن-فرعي'!C183:I183</f>
        <v>نفقات التزامات النفقات المتكررة المدورة من سنوات سابقة</v>
      </c>
      <c r="D44" s="12">
        <f>IF('ن-فرعي'!F185&gt;0,'ن-فرعي'!F185,"")</f>
        <v>1150000</v>
      </c>
      <c r="E44" s="12">
        <f>IF('ن-فرعي'!G185&gt;0,'ن-فرعي'!G185,"")</f>
        <v>1150000</v>
      </c>
      <c r="F44" s="177">
        <f>IF('ن-فرعي'!H185&gt;0,'ن-فرعي'!H185,"")</f>
        <v>502224.00300000003</v>
      </c>
      <c r="G44" s="12">
        <f>IF('ن-فرعي'!I185&gt;0,'ن-فرعي'!I185,"")</f>
        <v>600958.60900000005</v>
      </c>
      <c r="H44" s="167">
        <f t="shared" si="0"/>
        <v>0.4367165243478261</v>
      </c>
      <c r="I44" s="168">
        <f t="shared" si="1"/>
        <v>1.4058448186093383E-2</v>
      </c>
    </row>
    <row r="45" spans="2:9" x14ac:dyDescent="0.2">
      <c r="B45" s="319" t="str">
        <f>'ن-فرعي'!B186:E186</f>
        <v>مجموع الفصل السابع: نفقات التزامات النفقات المتكررة المدورة من سنوات سابقة</v>
      </c>
      <c r="C45" s="319"/>
      <c r="D45" s="57">
        <f>SUM(D44:D44)</f>
        <v>1150000</v>
      </c>
      <c r="E45" s="57">
        <f t="shared" ref="E45:G45" si="8">SUM(E44:E44)</f>
        <v>1150000</v>
      </c>
      <c r="F45" s="57">
        <f t="shared" si="8"/>
        <v>502224.00300000003</v>
      </c>
      <c r="G45" s="57">
        <f t="shared" si="8"/>
        <v>600958.60900000005</v>
      </c>
      <c r="H45" s="167">
        <f t="shared" si="0"/>
        <v>0.4367165243478261</v>
      </c>
      <c r="I45" s="168">
        <f t="shared" si="1"/>
        <v>1.4058448186093383E-2</v>
      </c>
    </row>
    <row r="46" spans="2:9" x14ac:dyDescent="0.2">
      <c r="B46" s="95">
        <v>24901000</v>
      </c>
      <c r="C46" s="3" t="str">
        <f>'ن-فرعي'!C188:I188</f>
        <v>الفوائد والعمولات المصرفية</v>
      </c>
      <c r="D46" s="12">
        <f>IF('ن-فرعي'!F190&gt;0,'ن-فرعي'!F190,"")</f>
        <v>800000</v>
      </c>
      <c r="E46" s="12">
        <f>IF('ن-فرعي'!G190&gt;0,'ن-فرعي'!G190,"")</f>
        <v>800000</v>
      </c>
      <c r="F46" s="177">
        <f>IF('ن-فرعي'!H190&gt;0,'ن-فرعي'!H190,"")</f>
        <v>569621.19700000004</v>
      </c>
      <c r="G46" s="12" t="str">
        <f>IF('ن-فرعي'!I190&gt;0,'ن-فرعي'!I190,"")</f>
        <v/>
      </c>
      <c r="H46" s="167">
        <f t="shared" si="0"/>
        <v>0.71202649625000003</v>
      </c>
      <c r="I46" s="168">
        <f t="shared" si="1"/>
        <v>1.5945056460642707E-2</v>
      </c>
    </row>
    <row r="47" spans="2:9" x14ac:dyDescent="0.2">
      <c r="B47" s="319" t="str">
        <f>'ن-فرعي'!B191:E191</f>
        <v>مجموع الفصل الثامن: الفوائد والعمولات المصرفية</v>
      </c>
      <c r="C47" s="319"/>
      <c r="D47" s="57">
        <f>SUM(D46)</f>
        <v>800000</v>
      </c>
      <c r="E47" s="57">
        <f t="shared" ref="E47:G47" si="9">SUM(E46)</f>
        <v>800000</v>
      </c>
      <c r="F47" s="57">
        <f t="shared" si="9"/>
        <v>569621.19700000004</v>
      </c>
      <c r="G47" s="57">
        <f t="shared" si="9"/>
        <v>0</v>
      </c>
      <c r="H47" s="167">
        <f t="shared" si="0"/>
        <v>0.71202649625000003</v>
      </c>
      <c r="I47" s="168">
        <f t="shared" si="1"/>
        <v>1.5945056460642707E-2</v>
      </c>
    </row>
    <row r="48" spans="2:9" x14ac:dyDescent="0.2">
      <c r="B48" s="95">
        <v>25002000</v>
      </c>
      <c r="C48" s="3" t="str">
        <f>'ن-فرعي'!C193:I193</f>
        <v>تسديد فوائد القروض</v>
      </c>
      <c r="D48" s="12">
        <f>IF('ن-فرعي'!F195&gt;0,'ن-فرعي'!F195,"")</f>
        <v>100000</v>
      </c>
      <c r="E48" s="12">
        <f>IF('ن-فرعي'!G195&gt;0,'ن-فرعي'!G195,"")</f>
        <v>100000</v>
      </c>
      <c r="F48" s="177" t="str">
        <f>IF('ن-فرعي'!H195&gt;0,'ن-فرعي'!H195,"")</f>
        <v/>
      </c>
      <c r="G48" s="12" t="str">
        <f>IF('ن-فرعي'!I195&gt;0,'ن-فرعي'!I195,"")</f>
        <v/>
      </c>
      <c r="H48" s="167" t="str">
        <f t="shared" si="0"/>
        <v/>
      </c>
      <c r="I48" s="168" t="str">
        <f t="shared" si="1"/>
        <v/>
      </c>
    </row>
    <row r="49" spans="2:9" x14ac:dyDescent="0.2">
      <c r="B49" s="319" t="str">
        <f>'ن-فرعي'!B196:E196</f>
        <v>مجموع الفصل التاسع: تسديد فوائد القروض</v>
      </c>
      <c r="C49" s="319"/>
      <c r="D49" s="57">
        <f>SUM(D48:D48)</f>
        <v>100000</v>
      </c>
      <c r="E49" s="57">
        <f>SUM(E48:E48)</f>
        <v>100000</v>
      </c>
      <c r="F49" s="57">
        <f>SUM(F48:F48)</f>
        <v>0</v>
      </c>
      <c r="G49" s="57">
        <f>SUM(G48:G48)</f>
        <v>0</v>
      </c>
      <c r="H49" s="167">
        <f t="shared" si="0"/>
        <v>0</v>
      </c>
      <c r="I49" s="168">
        <f t="shared" si="1"/>
        <v>0</v>
      </c>
    </row>
    <row r="50" spans="2:9" x14ac:dyDescent="0.2">
      <c r="B50" s="330" t="str">
        <f>'ن-فرعي'!B197:E197</f>
        <v>مجموع الباب الأول: النفقات المتكررة</v>
      </c>
      <c r="C50" s="330"/>
      <c r="D50" s="52">
        <f>D8+D14+D22+D31+D39+D43+D45+D47+D49</f>
        <v>31092000</v>
      </c>
      <c r="E50" s="52">
        <f>E8+E14+E22+E31+E39+E43+E45+E47+E49</f>
        <v>31092000</v>
      </c>
      <c r="F50" s="52">
        <f>F8+F14+F22+F31+F39+F43+F45+F47+F49</f>
        <v>25945527.291000001</v>
      </c>
      <c r="G50" s="52">
        <f>G8+G14+G22+G31+G39+G43+G45+G47+G49</f>
        <v>1482083.9550000001</v>
      </c>
      <c r="H50" s="167">
        <f t="shared" si="0"/>
        <v>0.83447598388653033</v>
      </c>
      <c r="I50" s="168">
        <f t="shared" si="1"/>
        <v>0.72627721674504542</v>
      </c>
    </row>
    <row r="51" spans="2:9" x14ac:dyDescent="0.2">
      <c r="B51" s="95">
        <v>25101000</v>
      </c>
      <c r="C51" s="3" t="str">
        <f>'ن-فرعي'!C200:I200</f>
        <v>دعم البحث العلمي ودعم النشر ومكافآت تقييم الأبحات</v>
      </c>
      <c r="D51" s="12">
        <f>IF('ن-فرعي'!F207&gt;0,'ن-فرعي'!F207,"")</f>
        <v>820000</v>
      </c>
      <c r="E51" s="12">
        <f>IF('ن-فرعي'!G207&gt;0,'ن-فرعي'!G207,"")</f>
        <v>1019000</v>
      </c>
      <c r="F51" s="177">
        <f>IF('ن-فرعي'!H207&gt;0,'ن-فرعي'!H207,"")</f>
        <v>981759.09399999992</v>
      </c>
      <c r="G51" s="12">
        <f>IF('ن-فرعي'!I207&gt;0,'ن-فرعي'!I207,"")</f>
        <v>5000</v>
      </c>
      <c r="H51" s="167">
        <f t="shared" si="0"/>
        <v>0.96345347791952884</v>
      </c>
      <c r="I51" s="168">
        <f t="shared" si="1"/>
        <v>2.7481779587952074E-2</v>
      </c>
    </row>
    <row r="52" spans="2:9" s="37" customFormat="1" x14ac:dyDescent="0.2">
      <c r="B52" s="95">
        <v>25102000</v>
      </c>
      <c r="C52" s="3" t="str">
        <f>'ن-فرعي'!C208:I208</f>
        <v>مراقبة إعداد الرسائل العلمية</v>
      </c>
      <c r="D52" s="12">
        <f>IF('ن-فرعي'!F209&gt;0,'ن-فرعي'!F209,"")</f>
        <v>15000</v>
      </c>
      <c r="E52" s="12">
        <f>IF('ن-فرعي'!G209&gt;0,'ن-فرعي'!G209,"")</f>
        <v>15000</v>
      </c>
      <c r="F52" s="177">
        <f>IF('ن-فرعي'!H209&gt;0,'ن-فرعي'!H209,"")</f>
        <v>4598.7370000000001</v>
      </c>
      <c r="G52" s="12" t="str">
        <f>IF('ن-فرعي'!I209&gt;0,'ن-فرعي'!I209,"")</f>
        <v/>
      </c>
      <c r="H52" s="167">
        <f t="shared" si="0"/>
        <v>0.30658246666666666</v>
      </c>
      <c r="I52" s="168">
        <f t="shared" si="1"/>
        <v>1.2872962154294033E-4</v>
      </c>
    </row>
    <row r="53" spans="2:9" x14ac:dyDescent="0.2">
      <c r="B53" s="319" t="str">
        <f>'ن-فرعي'!B211:E211</f>
        <v>مجموع الفصل الأول: دعم البحث العلمي ودعم النشر ومكافآت تقييم الأبحات ومراقبة إعداد الرسائل العلمية</v>
      </c>
      <c r="C53" s="319"/>
      <c r="D53" s="57">
        <f>SUM(D51:D52)</f>
        <v>835000</v>
      </c>
      <c r="E53" s="57">
        <f t="shared" ref="E53:G53" si="10">SUM(E51:E52)</f>
        <v>1034000</v>
      </c>
      <c r="F53" s="57">
        <f t="shared" si="10"/>
        <v>986357.83099999989</v>
      </c>
      <c r="G53" s="57">
        <f t="shared" si="10"/>
        <v>5000</v>
      </c>
      <c r="H53" s="167">
        <f t="shared" si="0"/>
        <v>0.95392440135396506</v>
      </c>
      <c r="I53" s="168">
        <f t="shared" si="1"/>
        <v>2.7610509209495013E-2</v>
      </c>
    </row>
    <row r="54" spans="2:9" x14ac:dyDescent="0.2">
      <c r="B54" s="95">
        <v>25201000</v>
      </c>
      <c r="C54" s="3" t="str">
        <f>'ن-فرعي'!C213:I213</f>
        <v>دعم بحوث ومنح طلبة الدراسات العليا</v>
      </c>
      <c r="D54" s="12">
        <f>IF('ن-فرعي'!F216&gt;0,'ن-فرعي'!F216,"")</f>
        <v>15000</v>
      </c>
      <c r="E54" s="12">
        <f>IF('ن-فرعي'!G216&gt;0,'ن-فرعي'!G216,"")</f>
        <v>15000</v>
      </c>
      <c r="F54" s="177">
        <f>IF('ن-فرعي'!H216&gt;0,'ن-فرعي'!H216,"")</f>
        <v>300</v>
      </c>
      <c r="G54" s="12">
        <f>IF('ن-فرعي'!I216&gt;0,'ن-فرعي'!I216,"")</f>
        <v>600</v>
      </c>
      <c r="H54" s="167">
        <f t="shared" si="0"/>
        <v>0.02</v>
      </c>
      <c r="I54" s="168">
        <f t="shared" si="1"/>
        <v>8.397715821296607E-6</v>
      </c>
    </row>
    <row r="55" spans="2:9" x14ac:dyDescent="0.2">
      <c r="B55" s="319" t="str">
        <f>'ن-فرعي'!B217:E217</f>
        <v>مجموع الفصل الثاني: دعم بحوث ومنح طلبة الدراسات العليا</v>
      </c>
      <c r="C55" s="319"/>
      <c r="D55" s="57">
        <f>SUM(D54)</f>
        <v>15000</v>
      </c>
      <c r="E55" s="57">
        <f t="shared" ref="E55:G55" si="11">SUM(E54)</f>
        <v>15000</v>
      </c>
      <c r="F55" s="57">
        <f t="shared" si="11"/>
        <v>300</v>
      </c>
      <c r="G55" s="57">
        <f t="shared" si="11"/>
        <v>600</v>
      </c>
      <c r="H55" s="167">
        <f t="shared" si="0"/>
        <v>0.02</v>
      </c>
      <c r="I55" s="168">
        <f t="shared" si="1"/>
        <v>8.397715821296607E-6</v>
      </c>
    </row>
    <row r="56" spans="2:9" x14ac:dyDescent="0.2">
      <c r="B56" s="95">
        <v>25301000</v>
      </c>
      <c r="C56" s="3" t="s">
        <v>405</v>
      </c>
      <c r="D56" s="12">
        <f>IF('ن-فرعي'!F224&gt;0,'ن-فرعي'!F224,"")</f>
        <v>131000</v>
      </c>
      <c r="E56" s="12">
        <f>IF('ن-فرعي'!G224&gt;0,'ن-فرعي'!G224,"")</f>
        <v>41000</v>
      </c>
      <c r="F56" s="177">
        <f>IF('ن-فرعي'!H224&gt;0,'ن-فرعي'!H224,"")</f>
        <v>2356.25</v>
      </c>
      <c r="G56" s="12" t="str">
        <f>IF('ن-فرعي'!I224&gt;0,'ن-فرعي'!I224,"")</f>
        <v/>
      </c>
      <c r="H56" s="167">
        <f t="shared" si="0"/>
        <v>5.7469512195121954E-2</v>
      </c>
      <c r="I56" s="168">
        <f t="shared" si="1"/>
        <v>6.5957059679767102E-5</v>
      </c>
    </row>
    <row r="57" spans="2:9" x14ac:dyDescent="0.2">
      <c r="B57" s="319" t="str">
        <f>'ن-فرعي'!B225:E225</f>
        <v xml:space="preserve">مجموع الفصل الثالث: دعم المشاركة في المؤتمرات والندوات العلمية </v>
      </c>
      <c r="C57" s="319"/>
      <c r="D57" s="57">
        <f>SUM(D56:D56)</f>
        <v>131000</v>
      </c>
      <c r="E57" s="57">
        <f t="shared" ref="E57:G57" si="12">SUM(E56:E56)</f>
        <v>41000</v>
      </c>
      <c r="F57" s="57">
        <f t="shared" si="12"/>
        <v>2356.25</v>
      </c>
      <c r="G57" s="57">
        <f t="shared" si="12"/>
        <v>0</v>
      </c>
      <c r="H57" s="167">
        <f t="shared" si="0"/>
        <v>5.7469512195121954E-2</v>
      </c>
      <c r="I57" s="168">
        <f t="shared" si="1"/>
        <v>6.5957059679767102E-5</v>
      </c>
    </row>
    <row r="58" spans="2:9" x14ac:dyDescent="0.2">
      <c r="B58" s="95">
        <v>25401000</v>
      </c>
      <c r="C58" s="3" t="str">
        <f>'ن-فرعي'!C227:I227</f>
        <v>المجلات والمطبوعات العلمية والثقافية</v>
      </c>
      <c r="D58" s="12">
        <f>IF('ن-فرعي'!F233&gt;0,'ن-فرعي'!F233,"")</f>
        <v>47500</v>
      </c>
      <c r="E58" s="12">
        <f>IF('ن-فرعي'!G233&gt;0,'ن-فرعي'!G233,"")</f>
        <v>47500</v>
      </c>
      <c r="F58" s="177">
        <f>IF('ن-فرعي'!H233&gt;0,'ن-فرعي'!H233,"")</f>
        <v>25245</v>
      </c>
      <c r="G58" s="12" t="str">
        <f>IF('ن-فرعي'!I233&gt;0,'ن-فرعي'!I233,"")</f>
        <v/>
      </c>
      <c r="H58" s="167">
        <f t="shared" si="0"/>
        <v>0.53147368421052632</v>
      </c>
      <c r="I58" s="168">
        <f t="shared" si="1"/>
        <v>7.0666778636210956E-4</v>
      </c>
    </row>
    <row r="59" spans="2:9" x14ac:dyDescent="0.2">
      <c r="B59" s="319" t="str">
        <f>'ن-فرعي'!B234:E234</f>
        <v>مجموع الفصل الرابع: المجلات والمطبوعات العلمية والثقافية</v>
      </c>
      <c r="C59" s="319"/>
      <c r="D59" s="57">
        <f>SUM(D58)</f>
        <v>47500</v>
      </c>
      <c r="E59" s="57">
        <f t="shared" ref="E59:G59" si="13">SUM(E58)</f>
        <v>47500</v>
      </c>
      <c r="F59" s="57">
        <f t="shared" si="13"/>
        <v>25245</v>
      </c>
      <c r="G59" s="57">
        <f t="shared" si="13"/>
        <v>0</v>
      </c>
      <c r="H59" s="167">
        <f t="shared" si="0"/>
        <v>0.53147368421052632</v>
      </c>
      <c r="I59" s="168">
        <f t="shared" si="1"/>
        <v>7.0666778636210956E-4</v>
      </c>
    </row>
    <row r="60" spans="2:9" x14ac:dyDescent="0.2">
      <c r="B60" s="95">
        <v>25501000</v>
      </c>
      <c r="C60" s="3" t="str">
        <f>'ن-فرعي'!C236:I236</f>
        <v>نفقات التزامات البحث العلمي المدورة من سنوات سابقة</v>
      </c>
      <c r="D60" s="12">
        <f>IF('ن-فرعي'!F238&gt;0,'ن-فرعي'!F238,"")</f>
        <v>620000</v>
      </c>
      <c r="E60" s="12">
        <f>IF('ن-فرعي'!G238&gt;0,'ن-فرعي'!G238,"")</f>
        <v>511000</v>
      </c>
      <c r="F60" s="177">
        <f>IF('ن-فرعي'!H238&gt;0,'ن-فرعي'!H238,"")</f>
        <v>60778.512999999999</v>
      </c>
      <c r="G60" s="12">
        <f>IF('ن-فرعي'!I238&gt;0,'ن-فرعي'!I238,"")</f>
        <v>423295.62400000001</v>
      </c>
      <c r="H60" s="167">
        <f t="shared" si="0"/>
        <v>0.11894033855185909</v>
      </c>
      <c r="I60" s="168">
        <f t="shared" si="1"/>
        <v>1.7013356007166051E-3</v>
      </c>
    </row>
    <row r="61" spans="2:9" x14ac:dyDescent="0.2">
      <c r="B61" s="319" t="str">
        <f>'ن-فرعي'!B239:E239</f>
        <v>مجموع الفصل الخامس: نفقات التزامات البحث العلمي المدورة من سنوات سابقة</v>
      </c>
      <c r="C61" s="319"/>
      <c r="D61" s="57">
        <f>SUM(D60:D60)</f>
        <v>620000</v>
      </c>
      <c r="E61" s="57">
        <f t="shared" ref="E61:G61" si="14">SUM(E60:E60)</f>
        <v>511000</v>
      </c>
      <c r="F61" s="57">
        <f t="shared" si="14"/>
        <v>60778.512999999999</v>
      </c>
      <c r="G61" s="57">
        <f t="shared" si="14"/>
        <v>423295.62400000001</v>
      </c>
      <c r="H61" s="167">
        <f t="shared" si="0"/>
        <v>0.11894033855185909</v>
      </c>
      <c r="I61" s="168">
        <f t="shared" si="1"/>
        <v>1.7013356007166051E-3</v>
      </c>
    </row>
    <row r="62" spans="2:9" x14ac:dyDescent="0.2">
      <c r="B62" s="95">
        <v>25601000</v>
      </c>
      <c r="C62" s="3" t="str">
        <f>'ن-فرعي'!C241:I241</f>
        <v>أجهزة وتجهيزات وحواسيب للتدريس والبحث العلمي</v>
      </c>
      <c r="D62" s="12">
        <f>IF('ن-فرعي'!F244&gt;0,'ن-فرعي'!F244,"")</f>
        <v>244000</v>
      </c>
      <c r="E62" s="12">
        <f>IF('ن-فرعي'!G244&gt;0,'ن-فرعي'!G244,"")</f>
        <v>244000</v>
      </c>
      <c r="F62" s="177">
        <f>IF('ن-فرعي'!H244&gt;0,'ن-فرعي'!H244,"")</f>
        <v>4486.6549999999997</v>
      </c>
      <c r="G62" s="12">
        <f>IF('ن-فرعي'!I244&gt;0,'ن-فرعي'!I244,"")</f>
        <v>37513.345000000001</v>
      </c>
      <c r="H62" s="167">
        <f t="shared" si="0"/>
        <v>1.838793032786885E-2</v>
      </c>
      <c r="I62" s="168">
        <f t="shared" si="1"/>
        <v>1.2559217892733175E-4</v>
      </c>
    </row>
    <row r="63" spans="2:9" x14ac:dyDescent="0.2">
      <c r="B63" s="95">
        <v>25602000</v>
      </c>
      <c r="C63" s="3" t="str">
        <f>'ن-فرعي'!E246</f>
        <v>نفقات البحث والتدريس (مواد بحثية وتعليمية، زجاجيات، كيماويات)</v>
      </c>
      <c r="D63" s="12">
        <f>IF('ن-فرعي'!F247&gt;0,'ن-فرعي'!F247,"")</f>
        <v>124000</v>
      </c>
      <c r="E63" s="12">
        <f>IF('ن-فرعي'!G247&gt;0,'ن-فرعي'!G247,"")</f>
        <v>124000</v>
      </c>
      <c r="F63" s="177">
        <f>IF('ن-فرعي'!H247&gt;0,'ن-فرعي'!H247,"")</f>
        <v>16878.309999999998</v>
      </c>
      <c r="G63" s="12">
        <f>IF('ن-فرعي'!I247&gt;0,'ن-فرعي'!I247,"")</f>
        <v>10343.120000000001</v>
      </c>
      <c r="H63" s="167">
        <f t="shared" si="0"/>
        <v>0.13611540322580643</v>
      </c>
      <c r="I63" s="168">
        <f t="shared" si="1"/>
        <v>4.7246416974582907E-4</v>
      </c>
    </row>
    <row r="64" spans="2:9" x14ac:dyDescent="0.2">
      <c r="B64" s="95">
        <v>25602000</v>
      </c>
      <c r="C64" s="3" t="str">
        <f>'ن-فرعي'!E249</f>
        <v xml:space="preserve">صيانة وعقود صيانة أجهزة المختبرات العلمية  </v>
      </c>
      <c r="D64" s="12">
        <f>IF('ن-فرعي'!F249&gt;0,'ن-فرعي'!F249,"")</f>
        <v>77000</v>
      </c>
      <c r="E64" s="12">
        <f>IF('ن-فرعي'!G249&gt;0,'ن-فرعي'!G249,"")</f>
        <v>77000</v>
      </c>
      <c r="F64" s="177">
        <f>IF('ن-فرعي'!H249&gt;0,'ن-فرعي'!H249,"")</f>
        <v>3999.6790000000001</v>
      </c>
      <c r="G64" s="12">
        <f>IF('ن-فرعي'!I249&gt;0,'ن-فرعي'!I249,"")</f>
        <v>12645</v>
      </c>
      <c r="H64" s="167">
        <f t="shared" si="0"/>
        <v>5.1943883116883117E-2</v>
      </c>
      <c r="I64" s="168">
        <f t="shared" si="1"/>
        <v>1.1196055872802598E-4</v>
      </c>
    </row>
    <row r="65" spans="2:9" x14ac:dyDescent="0.2">
      <c r="B65" s="319" t="str">
        <f>'ن-فرعي'!B251:E251</f>
        <v>مجموع الفصل السادس: أجهزة وتجهيزات وحواسيب للتدريس والبحث العلمي</v>
      </c>
      <c r="C65" s="319"/>
      <c r="D65" s="57">
        <f>SUM(D62:D64)</f>
        <v>445000</v>
      </c>
      <c r="E65" s="57">
        <f t="shared" ref="E65:G65" si="15">SUM(E62:E64)</f>
        <v>445000</v>
      </c>
      <c r="F65" s="57">
        <f t="shared" si="15"/>
        <v>25364.643999999997</v>
      </c>
      <c r="G65" s="57">
        <f t="shared" si="15"/>
        <v>60501.465000000004</v>
      </c>
      <c r="H65" s="167">
        <f t="shared" si="0"/>
        <v>5.6999199999999993E-2</v>
      </c>
      <c r="I65" s="168">
        <f t="shared" si="1"/>
        <v>7.100169074011868E-4</v>
      </c>
    </row>
    <row r="66" spans="2:9" x14ac:dyDescent="0.2">
      <c r="B66" s="95">
        <v>25701000</v>
      </c>
      <c r="C66" s="3" t="str">
        <f>'ن-فرعي'!C253:I253</f>
        <v>الكتب والدوريات الورقية والالكترونية</v>
      </c>
      <c r="D66" s="12">
        <f>IF('ن-فرعي'!F256&gt;0,'ن-فرعي'!F256,"")</f>
        <v>35000</v>
      </c>
      <c r="E66" s="12">
        <f>IF('ن-فرعي'!G256&gt;0,'ن-فرعي'!G256,"")</f>
        <v>35000</v>
      </c>
      <c r="F66" s="177">
        <f>IF('ن-فرعي'!H256&gt;0,'ن-فرعي'!H256,"")</f>
        <v>5249.5649999999996</v>
      </c>
      <c r="G66" s="12">
        <f>IF('ن-فرعي'!I256&gt;0,'ن-فرعي'!I256,"")</f>
        <v>0.435</v>
      </c>
      <c r="H66" s="167">
        <f t="shared" si="0"/>
        <v>0.14998757142857141</v>
      </c>
      <c r="I66" s="168">
        <f t="shared" si="1"/>
        <v>1.4694785018474972E-4</v>
      </c>
    </row>
    <row r="67" spans="2:9" x14ac:dyDescent="0.2">
      <c r="B67" s="319" t="str">
        <f>'ن-فرعي'!B257:E257</f>
        <v xml:space="preserve">مجموع الفصل السابع: الكتب والدوريات الورقية والالكترونية </v>
      </c>
      <c r="C67" s="319"/>
      <c r="D67" s="57">
        <f>SUM(D66:D66)</f>
        <v>35000</v>
      </c>
      <c r="E67" s="57">
        <f t="shared" ref="E67:G67" si="16">SUM(E66:E66)</f>
        <v>35000</v>
      </c>
      <c r="F67" s="57">
        <f t="shared" si="16"/>
        <v>5249.5649999999996</v>
      </c>
      <c r="G67" s="57">
        <f t="shared" si="16"/>
        <v>0.435</v>
      </c>
      <c r="H67" s="167">
        <f t="shared" si="0"/>
        <v>0.14998757142857141</v>
      </c>
      <c r="I67" s="168">
        <f t="shared" si="1"/>
        <v>1.4694785018474972E-4</v>
      </c>
    </row>
    <row r="68" spans="2:9" x14ac:dyDescent="0.2">
      <c r="B68" s="330" t="str">
        <f>'ن-فرعي'!B258:E258</f>
        <v>مجموع الباب الثاني: نفقات البحث العلمي</v>
      </c>
      <c r="C68" s="330"/>
      <c r="D68" s="52">
        <f>D53+D55+D57+D59+D61+D65+D67</f>
        <v>2128500</v>
      </c>
      <c r="E68" s="52">
        <f t="shared" ref="E68:G68" si="17">E53+E55+E57+E59+E61+E65+E67</f>
        <v>2128500</v>
      </c>
      <c r="F68" s="52">
        <f t="shared" si="17"/>
        <v>1105651.8029999998</v>
      </c>
      <c r="G68" s="52">
        <f t="shared" si="17"/>
        <v>489397.52400000003</v>
      </c>
      <c r="H68" s="167">
        <f t="shared" si="0"/>
        <v>0.51945116420014081</v>
      </c>
      <c r="I68" s="168">
        <f t="shared" si="1"/>
        <v>3.0949832129660727E-2</v>
      </c>
    </row>
    <row r="69" spans="2:9" x14ac:dyDescent="0.2">
      <c r="B69" s="95">
        <v>25901000</v>
      </c>
      <c r="C69" s="3" t="str">
        <f>'ن-فرعي'!C261:I261</f>
        <v>نفقات البعثات العلمية</v>
      </c>
      <c r="D69" s="12">
        <f>IF('ن-فرعي'!F263&gt;0,'ن-فرعي'!F263,"")</f>
        <v>300000</v>
      </c>
      <c r="E69" s="12">
        <f>IF('ن-فرعي'!G263&gt;0,'ن-فرعي'!G263,"")</f>
        <v>310000</v>
      </c>
      <c r="F69" s="177">
        <f>IF('ن-فرعي'!H263&gt;0,'ن-فرعي'!H263,"")</f>
        <v>309999.35200000001</v>
      </c>
      <c r="G69" s="12" t="str">
        <f>IF('ن-فرعي'!I263&gt;0,'ن-فرعي'!I263,"")</f>
        <v/>
      </c>
      <c r="H69" s="167">
        <f t="shared" ref="H69:H94" si="18">IFERROR(F69/E69,"")</f>
        <v>0.99999790967741942</v>
      </c>
      <c r="I69" s="168">
        <f t="shared" ref="I69:I94" si="19">IFERROR(F69/$E$94,"")</f>
        <v>8.6776215429403211E-3</v>
      </c>
    </row>
    <row r="70" spans="2:9" x14ac:dyDescent="0.2">
      <c r="B70" s="95">
        <v>25902000</v>
      </c>
      <c r="C70" s="3" t="str">
        <f>'ن-فرعي'!C264:I264</f>
        <v>الدورات التدريبية وورش التدريب</v>
      </c>
      <c r="D70" s="12">
        <f>IF('ن-فرعي'!F266&gt;0,'ن-فرعي'!F266,"")</f>
        <v>10000</v>
      </c>
      <c r="E70" s="12" t="str">
        <f>IF('ن-فرعي'!G266&gt;0,'ن-فرعي'!G266,"")</f>
        <v/>
      </c>
      <c r="F70" s="177" t="str">
        <f>IF('ن-فرعي'!H266&gt;0,'ن-فرعي'!H266,"")</f>
        <v/>
      </c>
      <c r="G70" s="12" t="str">
        <f>IF('ن-فرعي'!I266&gt;0,'ن-فرعي'!I266,"")</f>
        <v/>
      </c>
      <c r="H70" s="167" t="str">
        <f t="shared" si="18"/>
        <v/>
      </c>
      <c r="I70" s="168" t="str">
        <f t="shared" si="19"/>
        <v/>
      </c>
    </row>
    <row r="71" spans="2:9" x14ac:dyDescent="0.2">
      <c r="B71" s="319" t="str">
        <f>'ن-فرعي'!B267:E267</f>
        <v>مجموع الفصل الأول: نفقات البعثات العلمية والدورات التدريبية</v>
      </c>
      <c r="C71" s="319"/>
      <c r="D71" s="57">
        <f>SUM(D69:D70)</f>
        <v>310000</v>
      </c>
      <c r="E71" s="57">
        <f t="shared" ref="E71:G71" si="20">SUM(E69:E70)</f>
        <v>310000</v>
      </c>
      <c r="F71" s="57">
        <f t="shared" si="20"/>
        <v>309999.35200000001</v>
      </c>
      <c r="G71" s="57">
        <f t="shared" si="20"/>
        <v>0</v>
      </c>
      <c r="H71" s="167">
        <f t="shared" si="18"/>
        <v>0.99999790967741942</v>
      </c>
      <c r="I71" s="168">
        <f t="shared" si="19"/>
        <v>8.6776215429403211E-3</v>
      </c>
    </row>
    <row r="72" spans="2:9" x14ac:dyDescent="0.2">
      <c r="B72" s="330" t="str">
        <f>'ن-فرعي'!B268:E268</f>
        <v>مجموع الباب الثالث: نفقات البعثات العلمية والدورات التدريبية</v>
      </c>
      <c r="C72" s="330"/>
      <c r="D72" s="52">
        <f>D71</f>
        <v>310000</v>
      </c>
      <c r="E72" s="52">
        <f t="shared" ref="E72:G72" si="21">E71</f>
        <v>310000</v>
      </c>
      <c r="F72" s="52">
        <f t="shared" si="21"/>
        <v>309999.35200000001</v>
      </c>
      <c r="G72" s="52">
        <f t="shared" si="21"/>
        <v>0</v>
      </c>
      <c r="H72" s="167">
        <f t="shared" si="18"/>
        <v>0.99999790967741942</v>
      </c>
      <c r="I72" s="168">
        <f t="shared" si="19"/>
        <v>8.6776215429403211E-3</v>
      </c>
    </row>
    <row r="73" spans="2:9" x14ac:dyDescent="0.2">
      <c r="B73" s="95">
        <v>26201000</v>
      </c>
      <c r="C73" s="3" t="str">
        <f>'ن-فرعي'!C271:I271</f>
        <v xml:space="preserve">رخص متنوعة </v>
      </c>
      <c r="D73" s="12">
        <f>IF('ن-فرعي'!F276&gt;0,'ن-فرعي'!F276,"")</f>
        <v>154500</v>
      </c>
      <c r="E73" s="12">
        <f>IF('ن-فرعي'!G276&gt;0,'ن-فرعي'!G276,"")</f>
        <v>173500</v>
      </c>
      <c r="F73" s="177">
        <f>IF('ن-فرعي'!H276&gt;0,'ن-فرعي'!H276,"")</f>
        <v>66060.399999999994</v>
      </c>
      <c r="G73" s="12">
        <f>IF('ن-فرعي'!I276&gt;0,'ن-فرعي'!I276,"")</f>
        <v>31981.599999999999</v>
      </c>
      <c r="H73" s="167">
        <f t="shared" si="18"/>
        <v>0.3807515850144092</v>
      </c>
      <c r="I73" s="168">
        <f t="shared" si="19"/>
        <v>1.8491882208039412E-3</v>
      </c>
    </row>
    <row r="74" spans="2:9" x14ac:dyDescent="0.2">
      <c r="B74" s="95">
        <v>26202000</v>
      </c>
      <c r="C74" s="3" t="str">
        <f>'ن-فرعي'!C277:I277</f>
        <v>تطوير التقنيات المختلفة (خوادم، برمجيات ...)</v>
      </c>
      <c r="D74" s="12">
        <f>IF('ن-فرعي'!F280&gt;0,'ن-فرعي'!F280,"")</f>
        <v>180000</v>
      </c>
      <c r="E74" s="12">
        <f>IF('ن-فرعي'!G280&gt;0,'ن-فرعي'!G280,"")</f>
        <v>161000</v>
      </c>
      <c r="F74" s="177">
        <f>IF('ن-فرعي'!H280&gt;0,'ن-فرعي'!H280,"")</f>
        <v>5921.2</v>
      </c>
      <c r="G74" s="12">
        <f>IF('ن-فرعي'!I280&gt;0,'ن-فرعي'!I280,"")</f>
        <v>49678.8</v>
      </c>
      <c r="H74" s="167">
        <f t="shared" si="18"/>
        <v>3.6777639751552793E-2</v>
      </c>
      <c r="I74" s="168">
        <f t="shared" si="19"/>
        <v>1.6574851640353824E-4</v>
      </c>
    </row>
    <row r="75" spans="2:9" x14ac:dyDescent="0.2">
      <c r="B75" s="319" t="str">
        <f>'ن-فرعي'!B281:E281</f>
        <v>مجموع الفصل الأول: رخص متنوعة وتطوير التقنيات المختلفة</v>
      </c>
      <c r="C75" s="319"/>
      <c r="D75" s="57">
        <f>SUM(D73:D74)</f>
        <v>334500</v>
      </c>
      <c r="E75" s="57">
        <f t="shared" ref="E75:G75" si="22">SUM(E73:E74)</f>
        <v>334500</v>
      </c>
      <c r="F75" s="57">
        <f t="shared" si="22"/>
        <v>71981.599999999991</v>
      </c>
      <c r="G75" s="57">
        <f t="shared" si="22"/>
        <v>81660.399999999994</v>
      </c>
      <c r="H75" s="167">
        <f t="shared" si="18"/>
        <v>0.21519162929745886</v>
      </c>
      <c r="I75" s="168">
        <f t="shared" si="19"/>
        <v>2.0149367372074792E-3</v>
      </c>
    </row>
    <row r="76" spans="2:9" x14ac:dyDescent="0.2">
      <c r="B76" s="95">
        <v>26301000</v>
      </c>
      <c r="C76" s="3" t="str">
        <f>'ن-فرعي'!C283:I283</f>
        <v>التجهيزات المكتبية والأثاث</v>
      </c>
      <c r="D76" s="12">
        <f>IF('ن-فرعي'!F289&gt;0,'ن-فرعي'!F289,"")</f>
        <v>75000</v>
      </c>
      <c r="E76" s="12">
        <f>IF('ن-فرعي'!G289&gt;0,'ن-فرعي'!G289,"")</f>
        <v>35000</v>
      </c>
      <c r="F76" s="177">
        <f>IF('ن-فرعي'!H289&gt;0,'ن-فرعي'!H289,"")</f>
        <v>3109.8</v>
      </c>
      <c r="G76" s="12">
        <f>IF('ن-فرعي'!I289&gt;0,'ن-فرعي'!I289,"")</f>
        <v>361.25</v>
      </c>
      <c r="H76" s="167">
        <f t="shared" si="18"/>
        <v>8.8851428571428581E-2</v>
      </c>
      <c r="I76" s="168">
        <f t="shared" si="19"/>
        <v>8.7050722203560642E-5</v>
      </c>
    </row>
    <row r="77" spans="2:9" x14ac:dyDescent="0.2">
      <c r="B77" s="95">
        <v>26302000</v>
      </c>
      <c r="C77" s="3" t="str">
        <f>'ن-فرعي'!C290:I290</f>
        <v>أجهزة وتجهيزات خاصة بجهات الجامعة المختلفة</v>
      </c>
      <c r="D77" s="12">
        <f>IF('ن-فرعي'!F296&gt;0,'ن-فرعي'!F296,"")</f>
        <v>56000</v>
      </c>
      <c r="E77" s="12">
        <f>IF('ن-فرعي'!G296&gt;0,'ن-فرعي'!G296,"")</f>
        <v>96000</v>
      </c>
      <c r="F77" s="177">
        <f>IF('ن-فرعي'!H296&gt;0,'ن-فرعي'!H296,"")</f>
        <v>1758</v>
      </c>
      <c r="G77" s="12">
        <f>IF('ن-فرعي'!I296&gt;0,'ن-فرعي'!I296,"")</f>
        <v>70450</v>
      </c>
      <c r="H77" s="167">
        <f t="shared" si="18"/>
        <v>1.8312499999999999E-2</v>
      </c>
      <c r="I77" s="168">
        <f t="shared" si="19"/>
        <v>4.9210614712798118E-5</v>
      </c>
    </row>
    <row r="78" spans="2:9" x14ac:dyDescent="0.2">
      <c r="B78" s="95">
        <v>26303000</v>
      </c>
      <c r="C78" s="3" t="str">
        <f>'ن-فرعي'!C297:I297</f>
        <v>أجهزة وتجهيزات خاصة بسكنات الطلبة</v>
      </c>
      <c r="D78" s="12">
        <f>IF('ن-فرعي'!F300&gt;0,'ن-فرعي'!F300,"")</f>
        <v>14000</v>
      </c>
      <c r="E78" s="12">
        <f>IF('ن-فرعي'!G300&gt;0,'ن-فرعي'!G300,"")</f>
        <v>14000</v>
      </c>
      <c r="F78" s="177" t="str">
        <f>IF('ن-فرعي'!H300&gt;0,'ن-فرعي'!H300,"")</f>
        <v/>
      </c>
      <c r="G78" s="12" t="str">
        <f>IF('ن-فرعي'!I300&gt;0,'ن-فرعي'!I300,"")</f>
        <v/>
      </c>
      <c r="H78" s="167" t="str">
        <f t="shared" si="18"/>
        <v/>
      </c>
      <c r="I78" s="168" t="str">
        <f t="shared" si="19"/>
        <v/>
      </c>
    </row>
    <row r="79" spans="2:9" x14ac:dyDescent="0.2">
      <c r="B79" s="319" t="str">
        <f>'ن-فرعي'!B301:E301</f>
        <v>مجموع الفصل الثاني: التجهيزات المكتبية والأثاث</v>
      </c>
      <c r="C79" s="319"/>
      <c r="D79" s="57">
        <f>SUM(D76:D78)</f>
        <v>145000</v>
      </c>
      <c r="E79" s="57">
        <f t="shared" ref="E79:G79" si="23">SUM(E76:E78)</f>
        <v>145000</v>
      </c>
      <c r="F79" s="57">
        <f t="shared" si="23"/>
        <v>4867.8</v>
      </c>
      <c r="G79" s="57">
        <f t="shared" si="23"/>
        <v>70811.25</v>
      </c>
      <c r="H79" s="167">
        <f t="shared" si="18"/>
        <v>3.3571034482758624E-2</v>
      </c>
      <c r="I79" s="168">
        <f t="shared" si="19"/>
        <v>1.3626133691635876E-4</v>
      </c>
    </row>
    <row r="80" spans="2:9" x14ac:dyDescent="0.2">
      <c r="B80" s="95">
        <v>26401000</v>
      </c>
      <c r="C80" s="3" t="str">
        <f>'ن-فرعي'!C303:I303</f>
        <v>آليات ومركبات مختلفة</v>
      </c>
      <c r="D80" s="12">
        <f>IF('ن-فرعي'!F306&gt;0,'ن-فرعي'!F306,"")</f>
        <v>65000</v>
      </c>
      <c r="E80" s="12">
        <f>IF('ن-فرعي'!G306&gt;0,'ن-فرعي'!G306,"")</f>
        <v>65000</v>
      </c>
      <c r="F80" s="177" t="str">
        <f>IF('ن-فرعي'!H306&gt;0,'ن-فرعي'!H306,"")</f>
        <v/>
      </c>
      <c r="G80" s="12" t="str">
        <f>IF('ن-فرعي'!I306&gt;0,'ن-فرعي'!I306,"")</f>
        <v/>
      </c>
      <c r="H80" s="167" t="str">
        <f t="shared" si="18"/>
        <v/>
      </c>
      <c r="I80" s="168" t="str">
        <f t="shared" si="19"/>
        <v/>
      </c>
    </row>
    <row r="81" spans="2:9" x14ac:dyDescent="0.2">
      <c r="B81" s="95">
        <v>26402000</v>
      </c>
      <c r="C81" s="3" t="str">
        <f>'ن-فرعي'!C307:I307</f>
        <v xml:space="preserve">أجهزة ومعدات خاصة </v>
      </c>
      <c r="D81" s="12">
        <f>IF('ن-فرعي'!F314&gt;0,'ن-فرعي'!F314,"")</f>
        <v>85000</v>
      </c>
      <c r="E81" s="12">
        <f>IF('ن-فرعي'!G314&gt;0,'ن-فرعي'!G314,"")</f>
        <v>85000</v>
      </c>
      <c r="F81" s="177">
        <f>IF('ن-فرعي'!H314&gt;0,'ن-فرعي'!H314,"")</f>
        <v>2842.9</v>
      </c>
      <c r="G81" s="12">
        <f>IF('ن-فرعي'!I314&gt;0,'ن-فرعي'!I314,"")</f>
        <v>2117</v>
      </c>
      <c r="H81" s="167">
        <f t="shared" si="18"/>
        <v>3.3445882352941179E-2</v>
      </c>
      <c r="I81" s="168">
        <f t="shared" si="19"/>
        <v>7.9579554361213758E-5</v>
      </c>
    </row>
    <row r="82" spans="2:9" x14ac:dyDescent="0.2">
      <c r="B82" s="95">
        <v>26404000</v>
      </c>
      <c r="C82" s="3" t="str">
        <f>'ن-فرعي'!C315:I315</f>
        <v>مواد أولية</v>
      </c>
      <c r="D82" s="12">
        <f>IF('ن-فرعي'!F318&gt;0,'ن-فرعي'!F318,"")</f>
        <v>50000</v>
      </c>
      <c r="E82" s="12">
        <f>IF('ن-فرعي'!G318&gt;0,'ن-فرعي'!G318,"")</f>
        <v>50000</v>
      </c>
      <c r="F82" s="177">
        <f>IF('ن-فرعي'!H318&gt;0,'ن-فرعي'!H318,"")</f>
        <v>7690.8</v>
      </c>
      <c r="G82" s="12">
        <f>IF('ن-فرعي'!I318&gt;0,'ن-فرعي'!I318,"")</f>
        <v>6058</v>
      </c>
      <c r="H82" s="167">
        <f t="shared" si="18"/>
        <v>0.15381600000000001</v>
      </c>
      <c r="I82" s="168">
        <f t="shared" si="19"/>
        <v>2.1528384279475982E-4</v>
      </c>
    </row>
    <row r="83" spans="2:9" x14ac:dyDescent="0.2">
      <c r="B83" s="319" t="str">
        <f>'ن-فرعي'!B319:E319</f>
        <v xml:space="preserve">مجموع الفصل الثالث: الآليات والأجهزة والمعدات </v>
      </c>
      <c r="C83" s="319"/>
      <c r="D83" s="57">
        <f t="shared" ref="D83:G83" si="24">SUM(D80:D82)</f>
        <v>200000</v>
      </c>
      <c r="E83" s="57">
        <f t="shared" si="24"/>
        <v>200000</v>
      </c>
      <c r="F83" s="57">
        <f t="shared" si="24"/>
        <v>10533.7</v>
      </c>
      <c r="G83" s="57">
        <f t="shared" si="24"/>
        <v>8175</v>
      </c>
      <c r="H83" s="167">
        <f t="shared" si="18"/>
        <v>5.2668500000000007E-2</v>
      </c>
      <c r="I83" s="168">
        <f t="shared" si="19"/>
        <v>2.9486339715597361E-4</v>
      </c>
    </row>
    <row r="84" spans="2:9" x14ac:dyDescent="0.2">
      <c r="B84" s="95">
        <v>26501000</v>
      </c>
      <c r="C84" s="3" t="str">
        <f>'ن-فرعي'!C321:I321</f>
        <v>الأبنية</v>
      </c>
      <c r="D84" s="12">
        <f>IF('ن-فرعي'!F324&gt;0,'ن-فرعي'!F324,"")</f>
        <v>300000</v>
      </c>
      <c r="E84" s="12">
        <f>IF('ن-فرعي'!G324&gt;0,'ن-فرعي'!G324,"")</f>
        <v>300000</v>
      </c>
      <c r="F84" s="177" t="str">
        <f>IF('ن-فرعي'!H324&gt;0,'ن-فرعي'!H324,"")</f>
        <v/>
      </c>
      <c r="G84" s="12">
        <f>IF('ن-فرعي'!I324&gt;0,'ن-فرعي'!I324,"")</f>
        <v>123260.18799999999</v>
      </c>
      <c r="H84" s="167" t="str">
        <f t="shared" si="18"/>
        <v/>
      </c>
      <c r="I84" s="168" t="str">
        <f t="shared" si="19"/>
        <v/>
      </c>
    </row>
    <row r="85" spans="2:9" s="37" customFormat="1" x14ac:dyDescent="0.2">
      <c r="B85" s="95">
        <v>26505000</v>
      </c>
      <c r="C85" s="3" t="str">
        <f>'ن-فرعي'!C325:I325</f>
        <v>إعداد المخططات الأولية</v>
      </c>
      <c r="D85" s="12">
        <f>IF('ن-فرعي'!F327&gt;0,'ن-فرعي'!F327,"")</f>
        <v>15000</v>
      </c>
      <c r="E85" s="12">
        <f>IF('ن-فرعي'!G327&gt;0,'ن-فرعي'!G327,"")</f>
        <v>15000</v>
      </c>
      <c r="F85" s="177">
        <f>IF('ن-فرعي'!H327&gt;0,'ن-فرعي'!H327,"")</f>
        <v>603.20000000000005</v>
      </c>
      <c r="G85" s="12">
        <f>IF('ن-فرعي'!I327&gt;0,'ن-فرعي'!I327,"")</f>
        <v>7000</v>
      </c>
      <c r="H85" s="167">
        <f t="shared" si="18"/>
        <v>4.0213333333333337E-2</v>
      </c>
      <c r="I85" s="168">
        <f t="shared" si="19"/>
        <v>1.6885007278020378E-5</v>
      </c>
    </row>
    <row r="86" spans="2:9" x14ac:dyDescent="0.2">
      <c r="B86" s="331" t="str">
        <f>'ن-فرعي'!B328:E328</f>
        <v>مجموع الفصل الرابع: الأبنية والمشاريع الإنمائية</v>
      </c>
      <c r="C86" s="331"/>
      <c r="D86" s="58">
        <f>SUM(D84:D85)</f>
        <v>315000</v>
      </c>
      <c r="E86" s="58">
        <f>SUM(E84:E85)</f>
        <v>315000</v>
      </c>
      <c r="F86" s="58">
        <f>SUM(F84:F85)</f>
        <v>603.20000000000005</v>
      </c>
      <c r="G86" s="58">
        <f>SUM(G84:G85)</f>
        <v>130260.18799999999</v>
      </c>
      <c r="H86" s="167">
        <f t="shared" si="18"/>
        <v>1.914920634920635E-3</v>
      </c>
      <c r="I86" s="168">
        <f t="shared" si="19"/>
        <v>1.6885007278020378E-5</v>
      </c>
    </row>
    <row r="87" spans="2:9" x14ac:dyDescent="0.2">
      <c r="B87" s="95">
        <v>26601000</v>
      </c>
      <c r="C87" s="3" t="str">
        <f>'ن-فرعي'!C330:I330</f>
        <v>مشروع تطوير الملاعب الرياضية</v>
      </c>
      <c r="D87" s="12">
        <f>IF('ن-فرعي'!F332&gt;0,'ن-فرعي'!F332,"")</f>
        <v>50000</v>
      </c>
      <c r="E87" s="12">
        <f>IF('ن-فرعي'!G332&gt;0,'ن-فرعي'!G332,"")</f>
        <v>10000</v>
      </c>
      <c r="F87" s="177" t="str">
        <f>IF('ن-فرعي'!H332&gt;0,'ن-فرعي'!H332,"")</f>
        <v/>
      </c>
      <c r="G87" s="12" t="str">
        <f>IF('ن-فرعي'!I332&gt;0,'ن-فرعي'!I332,"")</f>
        <v/>
      </c>
      <c r="H87" s="167" t="str">
        <f t="shared" si="18"/>
        <v/>
      </c>
      <c r="I87" s="168" t="str">
        <f t="shared" si="19"/>
        <v/>
      </c>
    </row>
    <row r="88" spans="2:9" x14ac:dyDescent="0.2">
      <c r="B88" s="95">
        <v>26602000</v>
      </c>
      <c r="C88" s="3" t="str">
        <f>'ن-فرعي'!C333:I333</f>
        <v>المشاريع الزراعية وخطوط المياه</v>
      </c>
      <c r="D88" s="12">
        <f>IF('ن-فرعي'!F340&gt;0,'ن-فرعي'!F340,"")</f>
        <v>225000</v>
      </c>
      <c r="E88" s="12">
        <f>IF('ن-فرعي'!G340&gt;0,'ن-فرعي'!G340,"")</f>
        <v>290000</v>
      </c>
      <c r="F88" s="177">
        <f>IF('ن-فرعي'!H340&gt;0,'ن-فرعي'!H340,"")</f>
        <v>162740.29999999999</v>
      </c>
      <c r="G88" s="12">
        <f>IF('ن-فرعي'!I340&gt;0,'ن-فرعي'!I340,"")</f>
        <v>57034</v>
      </c>
      <c r="H88" s="167">
        <f t="shared" si="18"/>
        <v>0.56117344827586202</v>
      </c>
      <c r="I88" s="168">
        <f t="shared" si="19"/>
        <v>4.5554893069085205E-3</v>
      </c>
    </row>
    <row r="89" spans="2:9" x14ac:dyDescent="0.2">
      <c r="B89" s="95">
        <v>26603000</v>
      </c>
      <c r="C89" s="3" t="str">
        <f>'ن-فرعي'!C341:I341</f>
        <v>توسعة وتطوير البنية التحتية وتأهيل أبنية قائمة</v>
      </c>
      <c r="D89" s="12">
        <f>IF('ن-فرعي'!F343&gt;0,'ن-فرعي'!F343,"")</f>
        <v>40000</v>
      </c>
      <c r="E89" s="12">
        <f>IF('ن-فرعي'!G343&gt;0,'ن-فرعي'!G343,"")</f>
        <v>15000</v>
      </c>
      <c r="F89" s="177" t="str">
        <f>IF('ن-فرعي'!H343&gt;0,'ن-فرعي'!H343,"")</f>
        <v/>
      </c>
      <c r="G89" s="12" t="str">
        <f>IF('ن-فرعي'!I343&gt;0,'ن-فرعي'!I343,"")</f>
        <v/>
      </c>
      <c r="H89" s="167" t="str">
        <f t="shared" si="18"/>
        <v/>
      </c>
      <c r="I89" s="168" t="str">
        <f t="shared" si="19"/>
        <v/>
      </c>
    </row>
    <row r="90" spans="2:9" x14ac:dyDescent="0.2">
      <c r="B90" s="331" t="str">
        <f>'ن-فرعي'!B344:E344</f>
        <v>مجموع الفصل الخامس: الأشغال والمرافق العامة</v>
      </c>
      <c r="C90" s="331"/>
      <c r="D90" s="58">
        <f t="shared" ref="D90:G90" si="25">SUM(D87:D89)</f>
        <v>315000</v>
      </c>
      <c r="E90" s="58">
        <f t="shared" si="25"/>
        <v>315000</v>
      </c>
      <c r="F90" s="58">
        <f t="shared" si="25"/>
        <v>162740.29999999999</v>
      </c>
      <c r="G90" s="58">
        <f t="shared" si="25"/>
        <v>57034</v>
      </c>
      <c r="H90" s="167">
        <f t="shared" si="18"/>
        <v>0.51663587301587299</v>
      </c>
      <c r="I90" s="168">
        <f t="shared" si="19"/>
        <v>4.5554893069085205E-3</v>
      </c>
    </row>
    <row r="91" spans="2:9" x14ac:dyDescent="0.2">
      <c r="B91" s="95">
        <v>27001000</v>
      </c>
      <c r="C91" s="3" t="str">
        <f>'ن-فرعي'!C346:I346</f>
        <v>نفقات التزامات رأسمالية مدورة</v>
      </c>
      <c r="D91" s="12">
        <f>IF('ن-فرعي'!F348&gt;0,'ن-فرعي'!F348,"")</f>
        <v>884000</v>
      </c>
      <c r="E91" s="12">
        <f>IF('ن-فرعي'!G348&gt;0,'ن-فرعي'!G348,"")</f>
        <v>884000</v>
      </c>
      <c r="F91" s="177">
        <f>IF('ن-فرعي'!H348&gt;0,'ن-فرعي'!H348,"")</f>
        <v>64707.563000000002</v>
      </c>
      <c r="G91" s="12">
        <f>IF('ن-فرعي'!I348&gt;0,'ن-فرعي'!I348,"")</f>
        <v>582664.179</v>
      </c>
      <c r="H91" s="167">
        <f t="shared" si="18"/>
        <v>7.3198600678733031E-2</v>
      </c>
      <c r="I91" s="168">
        <f t="shared" si="19"/>
        <v>1.8113190852088233E-3</v>
      </c>
    </row>
    <row r="92" spans="2:9" x14ac:dyDescent="0.2">
      <c r="B92" s="331" t="str">
        <f>'ن-فرعي'!B349:E349</f>
        <v>مجموع الفصل السادس: نفقات الالتزامات الرأسمالية المدورة</v>
      </c>
      <c r="C92" s="331"/>
      <c r="D92" s="58">
        <f>SUM(D91)</f>
        <v>884000</v>
      </c>
      <c r="E92" s="58">
        <f t="shared" ref="E92:G92" si="26">SUM(E91)</f>
        <v>884000</v>
      </c>
      <c r="F92" s="58">
        <f t="shared" si="26"/>
        <v>64707.563000000002</v>
      </c>
      <c r="G92" s="58">
        <f t="shared" si="26"/>
        <v>582664.179</v>
      </c>
      <c r="H92" s="167">
        <f t="shared" si="18"/>
        <v>7.3198600678733031E-2</v>
      </c>
      <c r="I92" s="168">
        <f t="shared" si="19"/>
        <v>1.8113190852088233E-3</v>
      </c>
    </row>
    <row r="93" spans="2:9" x14ac:dyDescent="0.2">
      <c r="B93" s="330" t="str">
        <f>'ن-فرعي'!B350:E350</f>
        <v>مجموع الباب الرابع: النفقات الرأسمالية</v>
      </c>
      <c r="C93" s="330"/>
      <c r="D93" s="52">
        <f>D75+D79+D83+D86+D90+D92</f>
        <v>2193500</v>
      </c>
      <c r="E93" s="52">
        <f>E75+E79+E83+E86+E90+E92</f>
        <v>2193500</v>
      </c>
      <c r="F93" s="52">
        <f>F75+F79+F83+F86+F90+F92</f>
        <v>315434.163</v>
      </c>
      <c r="G93" s="52">
        <f>G75+G79+G83+G86+G90+G92</f>
        <v>930605.01699999999</v>
      </c>
      <c r="H93" s="167">
        <f t="shared" si="18"/>
        <v>0.14380404057442445</v>
      </c>
      <c r="I93" s="168">
        <f t="shared" si="19"/>
        <v>8.8297548706751765E-3</v>
      </c>
    </row>
    <row r="94" spans="2:9" x14ac:dyDescent="0.2">
      <c r="B94" s="329" t="str">
        <f>'ن-فرعي'!B351:E351</f>
        <v>المجموع العام للموازنة</v>
      </c>
      <c r="C94" s="329"/>
      <c r="D94" s="81">
        <f>D50+D68+D72+D93</f>
        <v>35724000</v>
      </c>
      <c r="E94" s="81">
        <f>E50+E68+E72+E93</f>
        <v>35724000</v>
      </c>
      <c r="F94" s="81">
        <f>F50+F68+F72+F93</f>
        <v>27676612.609000001</v>
      </c>
      <c r="G94" s="81">
        <f>G50+G68+G72+G93</f>
        <v>2902086.4960000003</v>
      </c>
      <c r="H94" s="167">
        <f t="shared" si="18"/>
        <v>0.77473442528832159</v>
      </c>
      <c r="I94" s="168">
        <f t="shared" si="19"/>
        <v>0.77473442528832159</v>
      </c>
    </row>
    <row r="95" spans="2:9" s="11" customFormat="1" x14ac:dyDescent="0.2">
      <c r="B95" s="308"/>
      <c r="C95" s="308"/>
      <c r="D95" s="308"/>
      <c r="E95" s="308"/>
      <c r="F95" s="308"/>
      <c r="G95" s="308"/>
      <c r="H95" s="207"/>
      <c r="I95" s="207"/>
    </row>
    <row r="96" spans="2:9" s="37" customFormat="1" x14ac:dyDescent="0.2">
      <c r="B96" s="315" t="s">
        <v>516</v>
      </c>
      <c r="C96" s="315"/>
      <c r="D96" s="328">
        <v>2020</v>
      </c>
      <c r="E96" s="328"/>
      <c r="F96" s="328"/>
      <c r="G96" s="328"/>
      <c r="H96" s="328"/>
      <c r="I96" s="328"/>
    </row>
    <row r="97" spans="2:9" x14ac:dyDescent="0.2">
      <c r="B97" s="3">
        <f>'ن-فرعي'!D358</f>
        <v>27201001</v>
      </c>
      <c r="C97" s="3" t="str">
        <f>'ن-فرعي'!E358</f>
        <v>تسديد قرض صندوق الادخار/جامعة آل البيت (المستحق)</v>
      </c>
      <c r="D97" s="96">
        <f>IF('ن-فرعي'!F358&gt;0,'ن-فرعي'!F358,"")</f>
        <v>1900000</v>
      </c>
      <c r="E97" s="96">
        <f>IF('ن-فرعي'!G358&gt;0,'ن-فرعي'!G358,"")</f>
        <v>1900000</v>
      </c>
      <c r="F97" s="177" t="str">
        <f>IF('ن-فرعي'!H358&gt;0,'ن-فرعي'!H358,"")</f>
        <v/>
      </c>
      <c r="G97" s="96" t="str">
        <f>IF('ن-فرعي'!I358&gt;0,'ن-فرعي'!I358,"")</f>
        <v/>
      </c>
      <c r="H97" s="167" t="str">
        <f>IFERROR(F97/E97,"")</f>
        <v/>
      </c>
      <c r="I97" s="168" t="str">
        <f>IFERROR(F97/$E$102,"")</f>
        <v/>
      </c>
    </row>
    <row r="98" spans="2:9" s="37" customFormat="1" x14ac:dyDescent="0.2">
      <c r="B98" s="3">
        <f>'ن-فرعي'!D359</f>
        <v>27201002</v>
      </c>
      <c r="C98" s="3" t="str">
        <f>'ن-فرعي'!E359</f>
        <v>تسديد سلفة وزارة المالية</v>
      </c>
      <c r="D98" s="96">
        <f>IF('ن-فرعي'!F359&gt;0,'ن-فرعي'!F359,"")</f>
        <v>500000</v>
      </c>
      <c r="E98" s="96">
        <f>IF('ن-فرعي'!G359&gt;0,'ن-فرعي'!G359,"")</f>
        <v>500000</v>
      </c>
      <c r="F98" s="177" t="str">
        <f>IF('ن-فرعي'!H359&gt;0,'ن-فرعي'!H359,"")</f>
        <v/>
      </c>
      <c r="G98" s="96" t="str">
        <f>IF('ن-فرعي'!I359&gt;0,'ن-فرعي'!I359,"")</f>
        <v/>
      </c>
      <c r="H98" s="167" t="str">
        <f t="shared" ref="H98:H102" si="27">IFERROR(F98/E98,"")</f>
        <v/>
      </c>
      <c r="I98" s="168" t="str">
        <f t="shared" ref="I98:I102" si="28">IFERROR(F98/$E$102,"")</f>
        <v/>
      </c>
    </row>
    <row r="99" spans="2:9" s="37" customFormat="1" x14ac:dyDescent="0.2">
      <c r="B99" s="3">
        <f>'ن-فرعي'!D360</f>
        <v>28001001</v>
      </c>
      <c r="C99" s="3" t="str">
        <f>'ن-فرعي'!E360</f>
        <v>تسديد عجز موازنة السنة المالية الحالية</v>
      </c>
      <c r="D99" s="96">
        <f>IF('ن-فرعي'!F360&gt;0,'ن-فرعي'!F360,"")</f>
        <v>5314000</v>
      </c>
      <c r="E99" s="96">
        <f>IF('ن-فرعي'!G360&gt;0,'ن-فرعي'!G360,"")</f>
        <v>5314000</v>
      </c>
      <c r="F99" s="177">
        <f>IF('ن-فرعي'!H360&gt;0,'ن-فرعي'!H360,"")</f>
        <v>107525.73000000417</v>
      </c>
      <c r="G99" s="96" t="str">
        <f>IF('ن-فرعي'!I360&gt;0,'ن-فرعي'!I360,"")</f>
        <v/>
      </c>
      <c r="H99" s="167">
        <f t="shared" si="27"/>
        <v>2.0234424162590171E-2</v>
      </c>
      <c r="I99" s="168">
        <f t="shared" si="28"/>
        <v>4.6568094413167683E-3</v>
      </c>
    </row>
    <row r="100" spans="2:9" s="37" customFormat="1" x14ac:dyDescent="0.2">
      <c r="B100" s="3">
        <f>'ن-فرعي'!D361</f>
        <v>28101006</v>
      </c>
      <c r="C100" s="3" t="str">
        <f>'ن-فرعي'!E361</f>
        <v>تسديد ذمة عجز موازنة التمويل المتراكم</v>
      </c>
      <c r="D100" s="96">
        <f>IF('ن-فرعي'!F361&gt;0,'ن-فرعي'!F361,"")</f>
        <v>15376000</v>
      </c>
      <c r="E100" s="96">
        <f>IF('ن-فرعي'!G361&gt;0,'ن-فرعي'!G361,"")</f>
        <v>15376000</v>
      </c>
      <c r="F100" s="177">
        <f>IF('ن-فرعي'!H361&gt;0,'ن-فرعي'!H361,"")</f>
        <v>15375481.875</v>
      </c>
      <c r="G100" s="96" t="str">
        <f>IF('ن-فرعي'!I361&gt;0,'ن-فرعي'!I361,"")</f>
        <v/>
      </c>
      <c r="H100" s="167">
        <f t="shared" si="27"/>
        <v>0.99996630300468259</v>
      </c>
      <c r="I100" s="168">
        <f t="shared" si="28"/>
        <v>0.66589354157643998</v>
      </c>
    </row>
    <row r="101" spans="2:9" x14ac:dyDescent="0.2">
      <c r="B101" s="331" t="str">
        <f>'ن-فرعي'!B362:E362</f>
        <v>مجموع تسديد عجز الموازنة الحالي وذمة عجز موازنة التمويل المتراكم والقروض المستحقة</v>
      </c>
      <c r="C101" s="331"/>
      <c r="D101" s="58">
        <f>SUM(D97:D100)</f>
        <v>23090000</v>
      </c>
      <c r="E101" s="58">
        <f>SUM(E97:E100)</f>
        <v>23090000</v>
      </c>
      <c r="F101" s="58">
        <f>SUM(F97:F100)</f>
        <v>15483007.605000004</v>
      </c>
      <c r="G101" s="58">
        <f>SUM(G97:G100)</f>
        <v>0</v>
      </c>
      <c r="H101" s="167">
        <f t="shared" si="27"/>
        <v>0.67055035101775684</v>
      </c>
      <c r="I101" s="168">
        <f t="shared" si="28"/>
        <v>0.67055035101775684</v>
      </c>
    </row>
    <row r="102" spans="2:9" x14ac:dyDescent="0.2">
      <c r="B102" s="332" t="s">
        <v>525</v>
      </c>
      <c r="C102" s="332"/>
      <c r="D102" s="64">
        <f>SUM(D101)</f>
        <v>23090000</v>
      </c>
      <c r="E102" s="64">
        <f t="shared" ref="E102:G102" si="29">SUM(E101)</f>
        <v>23090000</v>
      </c>
      <c r="F102" s="64">
        <f t="shared" si="29"/>
        <v>15483007.605000004</v>
      </c>
      <c r="G102" s="64">
        <f t="shared" si="29"/>
        <v>0</v>
      </c>
      <c r="H102" s="167">
        <f t="shared" si="27"/>
        <v>0.67055035101775684</v>
      </c>
      <c r="I102" s="168">
        <f t="shared" si="28"/>
        <v>0.67055035101775684</v>
      </c>
    </row>
    <row r="103" spans="2:9" s="45" customFormat="1" x14ac:dyDescent="0.2">
      <c r="B103" s="307"/>
      <c r="C103" s="307"/>
      <c r="D103" s="307"/>
      <c r="E103" s="307"/>
      <c r="F103" s="307"/>
      <c r="G103" s="307"/>
      <c r="H103" s="205"/>
      <c r="I103" s="205"/>
    </row>
    <row r="104" spans="2:9" x14ac:dyDescent="0.2">
      <c r="B104" s="315" t="s">
        <v>528</v>
      </c>
      <c r="C104" s="315"/>
      <c r="D104" s="328">
        <v>2020</v>
      </c>
      <c r="E104" s="328"/>
      <c r="F104" s="328"/>
      <c r="G104" s="328"/>
      <c r="H104" s="328"/>
      <c r="I104" s="328"/>
    </row>
    <row r="105" spans="2:9" x14ac:dyDescent="0.2">
      <c r="B105" s="95">
        <v>29301000</v>
      </c>
      <c r="C105" s="3" t="str">
        <f>'ن-فرعي'!C369:I369</f>
        <v>مشاريع مشروطة بالتمويل</v>
      </c>
      <c r="D105" s="12">
        <f>IF('ن-فرعي'!F377&gt;0,'ن-فرعي'!F377,"")</f>
        <v>6655000</v>
      </c>
      <c r="E105" s="12">
        <f>IF('ن-فرعي'!G377&gt;0,'ن-فرعي'!G377,"")</f>
        <v>5790000</v>
      </c>
      <c r="F105" s="177">
        <f>IF('ن-فرعي'!H377&gt;0,'ن-فرعي'!H377,"")</f>
        <v>297425</v>
      </c>
      <c r="G105" s="12">
        <f>IF('ن-فرعي'!I377&gt;0,'ن-فرعي'!I377,"")</f>
        <v>263207.93400000001</v>
      </c>
      <c r="H105" s="167">
        <f>IFERROR(F105/D105,"")</f>
        <v>4.4691960931630352E-2</v>
      </c>
      <c r="I105" s="168">
        <f>IFERROR(F105/$D$107,"")</f>
        <v>3.4991176470588234E-2</v>
      </c>
    </row>
    <row r="106" spans="2:9" x14ac:dyDescent="0.2">
      <c r="B106" s="95">
        <v>29302000</v>
      </c>
      <c r="C106" s="3" t="str">
        <f>'ن-فرعي'!C378:I378</f>
        <v>أجهزة وتجهيزات مشروطة بالتمويل</v>
      </c>
      <c r="D106" s="12">
        <f>IF('ن-فرعي'!F388&gt;0,'ن-فرعي'!F388,"")</f>
        <v>1845000</v>
      </c>
      <c r="E106" s="12">
        <f>IF('ن-فرعي'!G388&gt;0,'ن-فرعي'!G388,"")</f>
        <v>1845000</v>
      </c>
      <c r="F106" s="177">
        <f>IF('ن-فرعي'!H388&gt;0,'ن-فرعي'!H388,"")</f>
        <v>40304</v>
      </c>
      <c r="G106" s="12">
        <f>IF('ن-فرعي'!I388&gt;0,'ن-فرعي'!I388,"")</f>
        <v>164801</v>
      </c>
      <c r="H106" s="167">
        <f t="shared" ref="H106:H109" si="30">IFERROR(F106/D106,"")</f>
        <v>2.18449864498645E-2</v>
      </c>
      <c r="I106" s="168">
        <f t="shared" ref="I106" si="31">IFERROR(F106/$D$107,"")</f>
        <v>4.7416470588235293E-3</v>
      </c>
    </row>
    <row r="107" spans="2:9" x14ac:dyDescent="0.2">
      <c r="B107" s="319" t="s">
        <v>539</v>
      </c>
      <c r="C107" s="319"/>
      <c r="D107" s="57">
        <f>SUM(D105:D106)</f>
        <v>8500000</v>
      </c>
      <c r="E107" s="57">
        <f t="shared" ref="E107:G107" si="32">SUM(E105:E106)</f>
        <v>7635000</v>
      </c>
      <c r="F107" s="57">
        <f t="shared" si="32"/>
        <v>337729</v>
      </c>
      <c r="G107" s="57">
        <f t="shared" si="32"/>
        <v>428008.93400000001</v>
      </c>
      <c r="H107" s="167">
        <f>IFERROR(F107/D107,"")</f>
        <v>3.9732823529411765E-2</v>
      </c>
      <c r="I107" s="168">
        <f>IFERROR(F107/$D$107,"")</f>
        <v>3.9732823529411765E-2</v>
      </c>
    </row>
    <row r="108" spans="2:9" x14ac:dyDescent="0.2">
      <c r="B108" s="95">
        <v>29400000</v>
      </c>
      <c r="C108" s="3" t="str">
        <f>'ن-فرعي'!C391:I391</f>
        <v>مساهمة الجامعة في الرسوم الجامعية / جهات الإيفاد التي تتحمل نفقاتها الجامعة</v>
      </c>
      <c r="D108" s="12">
        <f>IF('ن-فرعي'!F401&gt;0,'ن-فرعي'!F401,"")</f>
        <v>1500000</v>
      </c>
      <c r="E108" s="12">
        <f>IF('ن-فرعي'!G401&gt;0,'ن-فرعي'!G401,"")</f>
        <v>2365000</v>
      </c>
      <c r="F108" s="177">
        <f>IF('ن-فرعي'!H401&gt;0,'ن-فرعي'!H401,"")</f>
        <v>2165985.6</v>
      </c>
      <c r="G108" s="12" t="str">
        <f>IF('ن-فرعي'!I401&gt;0,'ن-فرعي'!I401,"")</f>
        <v/>
      </c>
      <c r="H108" s="167">
        <f>IFERROR(F108/D108,"")</f>
        <v>1.4439904000000001</v>
      </c>
      <c r="I108" s="168">
        <f>IFERROR(F108/$D$109,"")</f>
        <v>1.4439904000000001</v>
      </c>
    </row>
    <row r="109" spans="2:9" s="37" customFormat="1" x14ac:dyDescent="0.2">
      <c r="B109" s="321" t="s">
        <v>533</v>
      </c>
      <c r="C109" s="321"/>
      <c r="D109" s="57">
        <f>SUM(D108)</f>
        <v>1500000</v>
      </c>
      <c r="E109" s="57">
        <f t="shared" ref="E109:G109" si="33">SUM(E108)</f>
        <v>2365000</v>
      </c>
      <c r="F109" s="57">
        <f t="shared" si="33"/>
        <v>2165985.6</v>
      </c>
      <c r="G109" s="57">
        <f t="shared" si="33"/>
        <v>0</v>
      </c>
      <c r="H109" s="167">
        <f t="shared" si="30"/>
        <v>1.4439904000000001</v>
      </c>
      <c r="I109" s="168">
        <f>IFERROR(F109/$D$109,"")</f>
        <v>1.4439904000000001</v>
      </c>
    </row>
    <row r="110" spans="2:9" x14ac:dyDescent="0.2">
      <c r="B110" s="317" t="s">
        <v>561</v>
      </c>
      <c r="C110" s="317"/>
      <c r="D110" s="184">
        <f>D107+D109</f>
        <v>10000000</v>
      </c>
      <c r="E110" s="184">
        <f t="shared" ref="E110:G110" si="34">E107+E109</f>
        <v>10000000</v>
      </c>
      <c r="F110" s="184">
        <f t="shared" si="34"/>
        <v>2503714.6</v>
      </c>
      <c r="G110" s="184">
        <f t="shared" si="34"/>
        <v>428008.93400000001</v>
      </c>
      <c r="H110" s="167">
        <f>IFERROR(F110/D110,"")</f>
        <v>0.25037145999999999</v>
      </c>
      <c r="I110" s="168">
        <f>IFERROR(F110/$D$110,"")</f>
        <v>0.25037145999999999</v>
      </c>
    </row>
    <row r="112" spans="2:9" x14ac:dyDescent="0.2">
      <c r="D112" s="99">
        <f>D94+D102+D110</f>
        <v>68814000</v>
      </c>
      <c r="E112" s="99">
        <f>E94+E102+E110</f>
        <v>68814000</v>
      </c>
      <c r="F112" s="99">
        <f>F94+F102+F110</f>
        <v>45663334.814000003</v>
      </c>
      <c r="G112" s="99">
        <f>G94+G102+G110</f>
        <v>3330095.43</v>
      </c>
    </row>
    <row r="113" spans="4:7" x14ac:dyDescent="0.2">
      <c r="D113" s="99">
        <f>'ن-مواد'!D270-'ن-فصل'!D112</f>
        <v>0</v>
      </c>
      <c r="E113" s="99">
        <f>'ن-مواد'!E270-'ن-فصل'!E112</f>
        <v>0</v>
      </c>
      <c r="F113" s="99">
        <f>'ن-مواد'!F270-'ن-فصل'!F112</f>
        <v>0</v>
      </c>
      <c r="G113" s="99">
        <f>'ن-مواد'!G270-'ن-فصل'!G112</f>
        <v>0</v>
      </c>
    </row>
  </sheetData>
  <mergeCells count="43">
    <mergeCell ref="B110:C110"/>
    <mergeCell ref="B2:B3"/>
    <mergeCell ref="B47:C47"/>
    <mergeCell ref="B61:C61"/>
    <mergeCell ref="B14:C14"/>
    <mergeCell ref="B102:C102"/>
    <mergeCell ref="B72:C72"/>
    <mergeCell ref="B68:C68"/>
    <mergeCell ref="B50:C50"/>
    <mergeCell ref="B49:C49"/>
    <mergeCell ref="B45:C45"/>
    <mergeCell ref="B39:C39"/>
    <mergeCell ref="B31:C31"/>
    <mergeCell ref="B22:C22"/>
    <mergeCell ref="B95:G95"/>
    <mergeCell ref="D104:I104"/>
    <mergeCell ref="B107:C107"/>
    <mergeCell ref="B8:C8"/>
    <mergeCell ref="B109:C109"/>
    <mergeCell ref="B101:C101"/>
    <mergeCell ref="B104:C104"/>
    <mergeCell ref="B83:C83"/>
    <mergeCell ref="B79:C79"/>
    <mergeCell ref="B90:C90"/>
    <mergeCell ref="B86:C86"/>
    <mergeCell ref="B65:C65"/>
    <mergeCell ref="B55:C55"/>
    <mergeCell ref="B53:C53"/>
    <mergeCell ref="D3:I3"/>
    <mergeCell ref="B1:I1"/>
    <mergeCell ref="B59:C59"/>
    <mergeCell ref="B57:C57"/>
    <mergeCell ref="B103:G103"/>
    <mergeCell ref="B96:C96"/>
    <mergeCell ref="B94:C94"/>
    <mergeCell ref="B93:C93"/>
    <mergeCell ref="B92:C92"/>
    <mergeCell ref="B75:C75"/>
    <mergeCell ref="B71:C71"/>
    <mergeCell ref="B67:C67"/>
    <mergeCell ref="B43:C43"/>
    <mergeCell ref="D96:I96"/>
    <mergeCell ref="C2:C3"/>
  </mergeCells>
  <conditionalFormatting sqref="B1 B8:G8 B2:C3 B107:G107 B104:C104 B101:G103 B96:C96 B4:E7 G4:G7 B14:G14 B9:E13 G9:G13 B22:G22 B15:E21 G15:G21 B31:G31 B23:E30 G23:G30 B39:G39 B32:E38 G32:G38 B43:G43 B40:E42 G40:G42 B45:G45 B44:E44 G44 B47:G47 B46:E46 G46 B49:G50 B48:E48 G48 B53:G53 B51:E52 G51:G52 B55:G55 B54:E54 G54 B57:G57 B56:E56 G56 B59:G59 B58:E58 G58 B61:G61 B60:E60 G60 B65:G65 B62:E64 G62:G64 B67:G68 B66:E66 G66 B71:G72 B69:E70 G69:G70 B75:G75 B73:E74 G73:G74 B79:G79 B76:E78 G76:G78 B83:G83 B80:E82 G80:G82 B86:G86 B84:E85 G84:G85 B90:G90 B87:E89 G87:G89 B97:E100 G97:G100 B92:G95 B91:E91 G91 B105:E106 G105:G106 B109:G110 B108:E108 G108">
    <cfRule type="containsBlanks" dxfId="321" priority="34">
      <formula>LEN(TRIM(B1))=0</formula>
    </cfRule>
  </conditionalFormatting>
  <conditionalFormatting sqref="D3:I3 D2:G2 I2">
    <cfRule type="containsBlanks" dxfId="320" priority="33" stopIfTrue="1">
      <formula>LEN(TRIM(D2))=0</formula>
    </cfRule>
  </conditionalFormatting>
  <conditionalFormatting sqref="H4:I94">
    <cfRule type="containsBlanks" dxfId="319" priority="32" stopIfTrue="1">
      <formula>LEN(TRIM(H4))=0</formula>
    </cfRule>
  </conditionalFormatting>
  <conditionalFormatting sqref="H97:I102">
    <cfRule type="containsBlanks" dxfId="318" priority="31" stopIfTrue="1">
      <formula>LEN(TRIM(H97))=0</formula>
    </cfRule>
  </conditionalFormatting>
  <conditionalFormatting sqref="H105:I110">
    <cfRule type="containsBlanks" dxfId="317" priority="30" stopIfTrue="1">
      <formula>LEN(TRIM(H105))=0</formula>
    </cfRule>
  </conditionalFormatting>
  <conditionalFormatting sqref="D96:I96">
    <cfRule type="containsBlanks" dxfId="316" priority="29" stopIfTrue="1">
      <formula>LEN(TRIM(D96))=0</formula>
    </cfRule>
  </conditionalFormatting>
  <conditionalFormatting sqref="D104:I104">
    <cfRule type="containsBlanks" dxfId="315" priority="28" stopIfTrue="1">
      <formula>LEN(TRIM(D104))=0</formula>
    </cfRule>
  </conditionalFormatting>
  <conditionalFormatting sqref="F4:F7">
    <cfRule type="containsBlanks" dxfId="314" priority="27">
      <formula>LEN(TRIM(F4))=0</formula>
    </cfRule>
  </conditionalFormatting>
  <conditionalFormatting sqref="F9:F13">
    <cfRule type="containsBlanks" dxfId="313" priority="26">
      <formula>LEN(TRIM(F9))=0</formula>
    </cfRule>
  </conditionalFormatting>
  <conditionalFormatting sqref="F15:F21">
    <cfRule type="containsBlanks" dxfId="312" priority="25">
      <formula>LEN(TRIM(F15))=0</formula>
    </cfRule>
  </conditionalFormatting>
  <conditionalFormatting sqref="F23:F30">
    <cfRule type="containsBlanks" dxfId="311" priority="24">
      <formula>LEN(TRIM(F23))=0</formula>
    </cfRule>
  </conditionalFormatting>
  <conditionalFormatting sqref="F32:F38">
    <cfRule type="containsBlanks" dxfId="310" priority="23">
      <formula>LEN(TRIM(F32))=0</formula>
    </cfRule>
  </conditionalFormatting>
  <conditionalFormatting sqref="F40:F42">
    <cfRule type="containsBlanks" dxfId="309" priority="22">
      <formula>LEN(TRIM(F40))=0</formula>
    </cfRule>
  </conditionalFormatting>
  <conditionalFormatting sqref="F44">
    <cfRule type="containsBlanks" dxfId="308" priority="21">
      <formula>LEN(TRIM(F44))=0</formula>
    </cfRule>
  </conditionalFormatting>
  <conditionalFormatting sqref="F46">
    <cfRule type="containsBlanks" dxfId="307" priority="20">
      <formula>LEN(TRIM(F46))=0</formula>
    </cfRule>
  </conditionalFormatting>
  <conditionalFormatting sqref="F48">
    <cfRule type="containsBlanks" dxfId="306" priority="19">
      <formula>LEN(TRIM(F48))=0</formula>
    </cfRule>
  </conditionalFormatting>
  <conditionalFormatting sqref="F51:F52">
    <cfRule type="containsBlanks" dxfId="305" priority="18">
      <formula>LEN(TRIM(F51))=0</formula>
    </cfRule>
  </conditionalFormatting>
  <conditionalFormatting sqref="F54">
    <cfRule type="containsBlanks" dxfId="304" priority="17">
      <formula>LEN(TRIM(F54))=0</formula>
    </cfRule>
  </conditionalFormatting>
  <conditionalFormatting sqref="F56">
    <cfRule type="containsBlanks" dxfId="303" priority="16">
      <formula>LEN(TRIM(F56))=0</formula>
    </cfRule>
  </conditionalFormatting>
  <conditionalFormatting sqref="F58">
    <cfRule type="containsBlanks" dxfId="302" priority="15">
      <formula>LEN(TRIM(F58))=0</formula>
    </cfRule>
  </conditionalFormatting>
  <conditionalFormatting sqref="F60">
    <cfRule type="containsBlanks" dxfId="301" priority="14">
      <formula>LEN(TRIM(F60))=0</formula>
    </cfRule>
  </conditionalFormatting>
  <conditionalFormatting sqref="F62:F64">
    <cfRule type="containsBlanks" dxfId="300" priority="13">
      <formula>LEN(TRIM(F62))=0</formula>
    </cfRule>
  </conditionalFormatting>
  <conditionalFormatting sqref="F66">
    <cfRule type="containsBlanks" dxfId="299" priority="12">
      <formula>LEN(TRIM(F66))=0</formula>
    </cfRule>
  </conditionalFormatting>
  <conditionalFormatting sqref="F69:F70">
    <cfRule type="containsBlanks" dxfId="298" priority="11">
      <formula>LEN(TRIM(F69))=0</formula>
    </cfRule>
  </conditionalFormatting>
  <conditionalFormatting sqref="F73:F74">
    <cfRule type="containsBlanks" dxfId="297" priority="10">
      <formula>LEN(TRIM(F73))=0</formula>
    </cfRule>
  </conditionalFormatting>
  <conditionalFormatting sqref="F76:F78">
    <cfRule type="containsBlanks" dxfId="296" priority="9">
      <formula>LEN(TRIM(F76))=0</formula>
    </cfRule>
  </conditionalFormatting>
  <conditionalFormatting sqref="F80:F82">
    <cfRule type="containsBlanks" dxfId="295" priority="8">
      <formula>LEN(TRIM(F80))=0</formula>
    </cfRule>
  </conditionalFormatting>
  <conditionalFormatting sqref="F84:F85">
    <cfRule type="containsBlanks" dxfId="294" priority="7">
      <formula>LEN(TRIM(F84))=0</formula>
    </cfRule>
  </conditionalFormatting>
  <conditionalFormatting sqref="F87:F89">
    <cfRule type="containsBlanks" dxfId="293" priority="6">
      <formula>LEN(TRIM(F87))=0</formula>
    </cfRule>
  </conditionalFormatting>
  <conditionalFormatting sqref="F97:F100">
    <cfRule type="containsBlanks" dxfId="292" priority="5">
      <formula>LEN(TRIM(F97))=0</formula>
    </cfRule>
  </conditionalFormatting>
  <conditionalFormatting sqref="F91">
    <cfRule type="containsBlanks" dxfId="291" priority="4">
      <formula>LEN(TRIM(F91))=0</formula>
    </cfRule>
  </conditionalFormatting>
  <conditionalFormatting sqref="F105:F106">
    <cfRule type="containsBlanks" dxfId="290" priority="3">
      <formula>LEN(TRIM(F105))=0</formula>
    </cfRule>
  </conditionalFormatting>
  <conditionalFormatting sqref="F108">
    <cfRule type="containsBlanks" dxfId="289" priority="2">
      <formula>LEN(TRIM(F108))=0</formula>
    </cfRule>
  </conditionalFormatting>
  <conditionalFormatting sqref="H2">
    <cfRule type="containsBlanks" dxfId="288" priority="1" stopIfTrue="1">
      <formula>LEN(TRIM(H2))=0</formula>
    </cfRule>
  </conditionalFormatting>
  <pageMargins left="0.15748031496062992" right="0.39" top="1.0236220472440944" bottom="0.75" header="0" footer="0.54"/>
  <pageSetup paperSize="9" scale="80" orientation="portrait" r:id="rId1"/>
  <headerFooter>
    <oddFooter xml:space="preserve">&amp;C&amp;P+4&amp;R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33CCFF"/>
  </sheetPr>
  <dimension ref="A1:G156"/>
  <sheetViews>
    <sheetView rightToLeft="1" zoomScaleNormal="100" workbookViewId="0">
      <pane ySplit="3" topLeftCell="A4" activePane="bottomLeft" state="frozen"/>
      <selection activeCell="B16" sqref="B16:J18"/>
      <selection pane="bottomLeft" activeCell="G153" sqref="B1:G153"/>
    </sheetView>
  </sheetViews>
  <sheetFormatPr defaultRowHeight="14.25" x14ac:dyDescent="0.2"/>
  <cols>
    <col min="1" max="1" width="1.625" customWidth="1"/>
    <col min="2" max="2" width="9" style="2" bestFit="1" customWidth="1"/>
    <col min="3" max="3" width="51.125" style="2" bestFit="1" customWidth="1"/>
    <col min="4" max="5" width="9.875" style="2" bestFit="1" customWidth="1"/>
    <col min="6" max="6" width="8.875" style="206" bestFit="1" customWidth="1"/>
    <col min="7" max="7" width="8.75" style="206" bestFit="1" customWidth="1"/>
  </cols>
  <sheetData>
    <row r="1" spans="2:7" s="85" customFormat="1" ht="12.75" x14ac:dyDescent="0.2">
      <c r="B1" s="315" t="s">
        <v>810</v>
      </c>
      <c r="C1" s="315"/>
      <c r="D1" s="315"/>
      <c r="E1" s="315"/>
      <c r="F1" s="315"/>
      <c r="G1" s="315"/>
    </row>
    <row r="2" spans="2:7" s="85" customFormat="1" ht="25.5" x14ac:dyDescent="0.2">
      <c r="B2" s="308" t="s">
        <v>328</v>
      </c>
      <c r="C2" s="308" t="s">
        <v>329</v>
      </c>
      <c r="D2" s="191" t="s">
        <v>520</v>
      </c>
      <c r="E2" s="191" t="s">
        <v>522</v>
      </c>
      <c r="F2" s="190" t="s">
        <v>816</v>
      </c>
      <c r="G2" s="190" t="s">
        <v>806</v>
      </c>
    </row>
    <row r="3" spans="2:7" s="85" customFormat="1" ht="12.75" x14ac:dyDescent="0.2">
      <c r="B3" s="308"/>
      <c r="C3" s="308"/>
      <c r="D3" s="328">
        <v>2020</v>
      </c>
      <c r="E3" s="328"/>
      <c r="F3" s="328"/>
      <c r="G3" s="328"/>
    </row>
    <row r="4" spans="2:7" x14ac:dyDescent="0.2">
      <c r="B4" s="313" t="str">
        <f>'ر-فرعي'!B4:G4</f>
        <v>الباب الأول: الرسوم الجامعية</v>
      </c>
      <c r="C4" s="313"/>
      <c r="D4" s="313"/>
      <c r="E4" s="313"/>
      <c r="F4" s="313"/>
      <c r="G4" s="313"/>
    </row>
    <row r="5" spans="2:7" x14ac:dyDescent="0.2">
      <c r="B5" s="335" t="str">
        <f>'ر-فرعي'!B5:G5</f>
        <v>الفصل الأول: الرسوم الجامعية</v>
      </c>
      <c r="C5" s="335"/>
      <c r="D5" s="335"/>
      <c r="E5" s="335"/>
      <c r="F5" s="335"/>
      <c r="G5" s="335"/>
    </row>
    <row r="6" spans="2:7" x14ac:dyDescent="0.2">
      <c r="B6" s="13">
        <f>IF('ر-فرعي'!D7&gt;0,'ر-فرعي'!D7,"")</f>
        <v>10102001</v>
      </c>
      <c r="C6" s="14" t="str">
        <f>IF('ر-فرعي'!E7&gt;0,'ر-فرعي'!E7,"")</f>
        <v>رسوم الساعات المعتمدة/العادي</v>
      </c>
      <c r="D6" s="12">
        <f>IF('ر-فرعي'!F7&gt;0,'ر-فرعي'!F7,"")</f>
        <v>7300000</v>
      </c>
      <c r="E6" s="177">
        <f>IF('ر-فرعي'!G7&gt;0,'ر-فرعي'!G7,"")</f>
        <v>5943026.4919999996</v>
      </c>
      <c r="F6" s="167">
        <f>IFERROR(E6/D6,"")</f>
        <v>0.81411321808219173</v>
      </c>
      <c r="G6" s="168">
        <f>IFERROR(E6/$D$111,"")</f>
        <v>0.16635949199417757</v>
      </c>
    </row>
    <row r="7" spans="2:7" x14ac:dyDescent="0.2">
      <c r="B7" s="13">
        <f>IF('ر-فرعي'!D8&gt;0,'ر-فرعي'!D8,"")</f>
        <v>10102002</v>
      </c>
      <c r="C7" s="14" t="str">
        <f>IF('ر-فرعي'!E8&gt;0,'ر-فرعي'!E8,"")</f>
        <v>خدمات جامعية/ العادي</v>
      </c>
      <c r="D7" s="12">
        <f>IF('ر-فرعي'!F8&gt;0,'ر-فرعي'!F8,"")</f>
        <v>1100000</v>
      </c>
      <c r="E7" s="177">
        <f>IF('ر-فرعي'!G8&gt;0,'ر-فرعي'!G8,"")</f>
        <v>1173473</v>
      </c>
      <c r="F7" s="167">
        <f t="shared" ref="F7:F70" si="0">IFERROR(E7/D7,"")</f>
        <v>1.0667936363636363</v>
      </c>
      <c r="G7" s="168">
        <f t="shared" ref="G7:G70" si="1">IFERROR(E7/$D$111,"")</f>
        <v>3.284830925988131E-2</v>
      </c>
    </row>
    <row r="8" spans="2:7" x14ac:dyDescent="0.2">
      <c r="B8" s="13">
        <f>IF('ر-فرعي'!D9&gt;0,'ر-فرعي'!D9,"")</f>
        <v>10102004</v>
      </c>
      <c r="C8" s="14" t="str">
        <f>IF('ر-فرعي'!E9&gt;0,'ر-فرعي'!E9,"")</f>
        <v>رسوم القبول/ العادي</v>
      </c>
      <c r="D8" s="12">
        <f>IF('ر-فرعي'!F9&gt;0,'ر-فرعي'!F9,"")</f>
        <v>92000</v>
      </c>
      <c r="E8" s="177">
        <f>IF('ر-فرعي'!G9&gt;0,'ر-فرعي'!G9,"")</f>
        <v>38550</v>
      </c>
      <c r="F8" s="167">
        <f t="shared" si="0"/>
        <v>0.41902173913043478</v>
      </c>
      <c r="G8" s="168">
        <f t="shared" si="1"/>
        <v>1.079106483036614E-3</v>
      </c>
    </row>
    <row r="9" spans="2:7" x14ac:dyDescent="0.2">
      <c r="B9" s="13">
        <f>IF('ر-فرعي'!D10&gt;0,'ر-فرعي'!D10,"")</f>
        <v>10102005</v>
      </c>
      <c r="C9" s="14" t="str">
        <f>IF('ر-فرعي'!E10&gt;0,'ر-فرعي'!E10,"")</f>
        <v>رسوم طلبات الالتحاق/ العادي</v>
      </c>
      <c r="D9" s="12">
        <f>IF('ر-فرعي'!F10&gt;0,'ر-فرعي'!F10,"")</f>
        <v>4000</v>
      </c>
      <c r="E9" s="177">
        <f>IF('ر-فرعي'!G10&gt;0,'ر-فرعي'!G10,"")</f>
        <v>11990</v>
      </c>
      <c r="F9" s="167">
        <f t="shared" si="0"/>
        <v>2.9975000000000001</v>
      </c>
      <c r="G9" s="168">
        <f t="shared" si="1"/>
        <v>3.3562870899115439E-4</v>
      </c>
    </row>
    <row r="10" spans="2:7" x14ac:dyDescent="0.2">
      <c r="B10" s="13">
        <f>IF('ر-فرعي'!D11&gt;0,'ر-فرعي'!D11,"")</f>
        <v>10102006</v>
      </c>
      <c r="C10" s="14" t="str">
        <f>IF('ر-فرعي'!E11&gt;0,'ر-فرعي'!E11,"")</f>
        <v>رسوم اخرى ومتنوعة / العادي</v>
      </c>
      <c r="D10" s="12">
        <f>IF('ر-فرعي'!F11&gt;0,'ر-فرعي'!F11,"")</f>
        <v>400000</v>
      </c>
      <c r="E10" s="177">
        <f>IF('ر-فرعي'!G11&gt;0,'ر-فرعي'!G11,"")</f>
        <v>270169.95</v>
      </c>
      <c r="F10" s="167">
        <f t="shared" si="0"/>
        <v>0.67542487500000004</v>
      </c>
      <c r="G10" s="168">
        <f t="shared" si="1"/>
        <v>7.5627015451797111E-3</v>
      </c>
    </row>
    <row r="11" spans="2:7" x14ac:dyDescent="0.2">
      <c r="B11" s="13">
        <f>IF('ر-فرعي'!D14&gt;0,'ر-فرعي'!D14,"")</f>
        <v>10103001</v>
      </c>
      <c r="C11" s="14" t="str">
        <f>IF('ر-فرعي'!E14&gt;0,'ر-فرعي'!E14,"")</f>
        <v>رسوم الساعات المعتمدة/ المسائي</v>
      </c>
      <c r="D11" s="12">
        <f>IF('ر-فرعي'!F14&gt;0,'ر-فرعي'!F14,"")</f>
        <v>500</v>
      </c>
      <c r="E11" s="177" t="str">
        <f>IF('ر-فرعي'!G14&gt;0,'ر-فرعي'!G14,"")</f>
        <v/>
      </c>
      <c r="F11" s="167" t="str">
        <f t="shared" si="0"/>
        <v/>
      </c>
      <c r="G11" s="168" t="str">
        <f t="shared" si="1"/>
        <v/>
      </c>
    </row>
    <row r="12" spans="2:7" x14ac:dyDescent="0.2">
      <c r="B12" s="13">
        <f>IF('ر-فرعي'!D15&gt;0,'ر-فرعي'!D15,"")</f>
        <v>10103002</v>
      </c>
      <c r="C12" s="14" t="str">
        <f>IF('ر-فرعي'!E15&gt;0,'ر-فرعي'!E15,"")</f>
        <v>خدمات جامعية/ المسائي</v>
      </c>
      <c r="D12" s="12">
        <f>IF('ر-فرعي'!F15&gt;0,'ر-فرعي'!F15,"")</f>
        <v>50</v>
      </c>
      <c r="E12" s="177" t="str">
        <f>IF('ر-فرعي'!G15&gt;0,'ر-فرعي'!G15,"")</f>
        <v/>
      </c>
      <c r="F12" s="167" t="str">
        <f t="shared" si="0"/>
        <v/>
      </c>
      <c r="G12" s="168" t="str">
        <f t="shared" si="1"/>
        <v/>
      </c>
    </row>
    <row r="13" spans="2:7" x14ac:dyDescent="0.2">
      <c r="B13" s="13">
        <f>IF('ر-فرعي'!D16&gt;0,'ر-فرعي'!D16,"")</f>
        <v>10103006</v>
      </c>
      <c r="C13" s="14" t="str">
        <f>IF('ر-فرعي'!E16&gt;0,'ر-فرعي'!E16,"")</f>
        <v>رسوم اخرى ومتنوعة / المسائي</v>
      </c>
      <c r="D13" s="12">
        <f>IF('ر-فرعي'!F16&gt;0,'ر-فرعي'!F16,"")</f>
        <v>1000</v>
      </c>
      <c r="E13" s="177">
        <f>IF('ر-فرعي'!G16&gt;0,'ر-فرعي'!G16,"")</f>
        <v>500</v>
      </c>
      <c r="F13" s="167">
        <f t="shared" si="0"/>
        <v>0.5</v>
      </c>
      <c r="G13" s="168">
        <f t="shared" si="1"/>
        <v>1.3996193035494346E-5</v>
      </c>
    </row>
    <row r="14" spans="2:7" x14ac:dyDescent="0.2">
      <c r="B14" s="13">
        <f>IF('ر-فرعي'!D19&gt;0,'ر-فرعي'!D19,"")</f>
        <v>10104001</v>
      </c>
      <c r="C14" s="14" t="str">
        <f>IF('ر-فرعي'!E19&gt;0,'ر-فرعي'!E19,"")</f>
        <v>رسوم الساعات المعتمدة/ الموازي</v>
      </c>
      <c r="D14" s="12">
        <f>IF('ر-فرعي'!F19&gt;0,'ر-فرعي'!F19,"")</f>
        <v>5610000</v>
      </c>
      <c r="E14" s="177">
        <f>IF('ر-فرعي'!G19&gt;0,'ر-فرعي'!G19,"")</f>
        <v>5744073.4840000002</v>
      </c>
      <c r="F14" s="167">
        <f t="shared" si="0"/>
        <v>1.0238990167557933</v>
      </c>
      <c r="G14" s="168">
        <f t="shared" si="1"/>
        <v>0.1607903225842571</v>
      </c>
    </row>
    <row r="15" spans="2:7" x14ac:dyDescent="0.2">
      <c r="B15" s="13">
        <f>IF('ر-فرعي'!D20&gt;0,'ر-فرعي'!D20,"")</f>
        <v>10104002</v>
      </c>
      <c r="C15" s="14" t="str">
        <f>IF('ر-فرعي'!E20&gt;0,'ر-فرعي'!E20,"")</f>
        <v>خدمات جامعية/ الموازي</v>
      </c>
      <c r="D15" s="12">
        <f>IF('ر-فرعي'!F20&gt;0,'ر-فرعي'!F20,"")</f>
        <v>1200000</v>
      </c>
      <c r="E15" s="177">
        <f>IF('ر-فرعي'!G20&gt;0,'ر-فرعي'!G20,"")</f>
        <v>1020588.982</v>
      </c>
      <c r="F15" s="167">
        <f t="shared" si="0"/>
        <v>0.85049081833333329</v>
      </c>
      <c r="G15" s="168">
        <f t="shared" si="1"/>
        <v>2.8568720803941326E-2</v>
      </c>
    </row>
    <row r="16" spans="2:7" x14ac:dyDescent="0.2">
      <c r="B16" s="13">
        <f>IF('ر-فرعي'!D21&gt;0,'ر-فرعي'!D21,"")</f>
        <v>10104004</v>
      </c>
      <c r="C16" s="14" t="str">
        <f>IF('ر-فرعي'!E21&gt;0,'ر-فرعي'!E21,"")</f>
        <v>رسوم القبول/ الموازي</v>
      </c>
      <c r="D16" s="12">
        <f>IF('ر-فرعي'!F21&gt;0,'ر-فرعي'!F21,"")</f>
        <v>50000</v>
      </c>
      <c r="E16" s="177">
        <f>IF('ر-فرعي'!G21&gt;0,'ر-فرعي'!G21,"")</f>
        <v>15821.7</v>
      </c>
      <c r="F16" s="167">
        <f t="shared" si="0"/>
        <v>0.31643399999999999</v>
      </c>
      <c r="G16" s="168">
        <f t="shared" si="1"/>
        <v>4.4288713469936179E-4</v>
      </c>
    </row>
    <row r="17" spans="2:7" x14ac:dyDescent="0.2">
      <c r="B17" s="13">
        <f>IF('ر-فرعي'!D22&gt;0,'ر-فرعي'!D22,"")</f>
        <v>10104005</v>
      </c>
      <c r="C17" s="14" t="str">
        <f>IF('ر-فرعي'!E22&gt;0,'ر-فرعي'!E22,"")</f>
        <v>رسوم طلبات الالتحاق/ الموازي</v>
      </c>
      <c r="D17" s="12">
        <f>IF('ر-فرعي'!F22&gt;0,'ر-فرعي'!F22,"")</f>
        <v>70000</v>
      </c>
      <c r="E17" s="177">
        <f>IF('ر-فرعي'!G22&gt;0,'ر-فرعي'!G22,"")</f>
        <v>22825</v>
      </c>
      <c r="F17" s="167">
        <f t="shared" si="0"/>
        <v>0.32607142857142857</v>
      </c>
      <c r="G17" s="168">
        <f t="shared" si="1"/>
        <v>6.3892621207031688E-4</v>
      </c>
    </row>
    <row r="18" spans="2:7" x14ac:dyDescent="0.2">
      <c r="B18" s="13">
        <f>IF('ر-فرعي'!D23&gt;0,'ر-فرعي'!D23,"")</f>
        <v>10104006</v>
      </c>
      <c r="C18" s="14" t="str">
        <f>IF('ر-فرعي'!E23&gt;0,'ر-فرعي'!E23,"")</f>
        <v>رسوم اخرى ومتنوعة / الموازي</v>
      </c>
      <c r="D18" s="12">
        <f>IF('ر-فرعي'!F23&gt;0,'ر-فرعي'!F23,"")</f>
        <v>210000</v>
      </c>
      <c r="E18" s="177">
        <f>IF('ر-فرعي'!G23&gt;0,'ر-فرعي'!G23,"")</f>
        <v>164109.66200000001</v>
      </c>
      <c r="F18" s="167">
        <f t="shared" si="0"/>
        <v>0.78147458095238098</v>
      </c>
      <c r="G18" s="168">
        <f t="shared" si="1"/>
        <v>4.5938210166834624E-3</v>
      </c>
    </row>
    <row r="19" spans="2:7" x14ac:dyDescent="0.2">
      <c r="B19" s="13">
        <f>IF('ر-فرعي'!D26&gt;0,'ر-فرعي'!D26,"")</f>
        <v>10107001</v>
      </c>
      <c r="C19" s="14" t="str">
        <f>IF('ر-فرعي'!E26&gt;0,'ر-فرعي'!E26,"")</f>
        <v>رسوم الساعات المعتمدة / ماجستير دولي</v>
      </c>
      <c r="D19" s="12">
        <f>IF('ر-فرعي'!F26&gt;0,'ر-فرعي'!F26,"")</f>
        <v>930000</v>
      </c>
      <c r="E19" s="177">
        <f>IF('ر-فرعي'!G26&gt;0,'ر-فرعي'!G26,"")</f>
        <v>436736.652</v>
      </c>
      <c r="F19" s="167">
        <f t="shared" si="0"/>
        <v>0.46960930322580646</v>
      </c>
      <c r="G19" s="168">
        <f t="shared" si="1"/>
        <v>1.2225300974135034E-2</v>
      </c>
    </row>
    <row r="20" spans="2:7" x14ac:dyDescent="0.2">
      <c r="B20" s="13">
        <f>IF('ر-فرعي'!D27&gt;0,'ر-فرعي'!D27,"")</f>
        <v>10107002</v>
      </c>
      <c r="C20" s="14" t="str">
        <f>IF('ر-فرعي'!E27&gt;0,'ر-فرعي'!E27,"")</f>
        <v>خدمات جامعية / ماجستير دولي</v>
      </c>
      <c r="D20" s="12">
        <f>IF('ر-فرعي'!F27&gt;0,'ر-فرعي'!F27,"")</f>
        <v>155000</v>
      </c>
      <c r="E20" s="177">
        <f>IF('ر-فرعي'!G27&gt;0,'ر-فرعي'!G27,"")</f>
        <v>83363</v>
      </c>
      <c r="F20" s="167">
        <f t="shared" si="0"/>
        <v>0.53782580645161293</v>
      </c>
      <c r="G20" s="168">
        <f t="shared" si="1"/>
        <v>2.3335292800358304E-3</v>
      </c>
    </row>
    <row r="21" spans="2:7" x14ac:dyDescent="0.2">
      <c r="B21" s="13">
        <f>IF('ر-فرعي'!D28&gt;0,'ر-فرعي'!D28,"")</f>
        <v>10107003</v>
      </c>
      <c r="C21" s="14" t="str">
        <f>IF('ر-فرعي'!E28&gt;0,'ر-فرعي'!E28,"")</f>
        <v>رسوم استخدام مصادر تعليمية / ماجستير دولي</v>
      </c>
      <c r="D21" s="12">
        <f>IF('ر-فرعي'!F28&gt;0,'ر-فرعي'!F28,"")</f>
        <v>70000</v>
      </c>
      <c r="E21" s="177">
        <f>IF('ر-فرعي'!G28&gt;0,'ر-فرعي'!G28,"")</f>
        <v>44112.7</v>
      </c>
      <c r="F21" s="167">
        <f t="shared" si="0"/>
        <v>0.63018142857142856</v>
      </c>
      <c r="G21" s="168">
        <f t="shared" si="1"/>
        <v>1.2348197290337028E-3</v>
      </c>
    </row>
    <row r="22" spans="2:7" x14ac:dyDescent="0.2">
      <c r="B22" s="13">
        <f>IF('ر-فرعي'!D29&gt;0,'ر-فرعي'!D29,"")</f>
        <v>10107004</v>
      </c>
      <c r="C22" s="14" t="str">
        <f>IF('ر-فرعي'!E29&gt;0,'ر-فرعي'!E29,"")</f>
        <v>رسوم القبول / ماجستير دولي</v>
      </c>
      <c r="D22" s="12">
        <f>IF('ر-فرعي'!F29&gt;0,'ر-فرعي'!F29,"")</f>
        <v>40000</v>
      </c>
      <c r="E22" s="177">
        <f>IF('ر-فرعي'!G29&gt;0,'ر-فرعي'!G29,"")</f>
        <v>34100</v>
      </c>
      <c r="F22" s="167">
        <f t="shared" si="0"/>
        <v>0.85250000000000004</v>
      </c>
      <c r="G22" s="168">
        <f t="shared" si="1"/>
        <v>9.5454036502071432E-4</v>
      </c>
    </row>
    <row r="23" spans="2:7" x14ac:dyDescent="0.2">
      <c r="B23" s="13">
        <f>IF('ر-فرعي'!D30&gt;0,'ر-فرعي'!D30,"")</f>
        <v>10107005</v>
      </c>
      <c r="C23" s="14" t="str">
        <f>IF('ر-فرعي'!E30&gt;0,'ر-فرعي'!E30,"")</f>
        <v>رسوم طلب الالتحاق / ماجستير دولي</v>
      </c>
      <c r="D23" s="12">
        <f>IF('ر-فرعي'!F30&gt;0,'ر-فرعي'!F30,"")</f>
        <v>10000</v>
      </c>
      <c r="E23" s="177">
        <f>IF('ر-فرعي'!G30&gt;0,'ر-فرعي'!G30,"")</f>
        <v>7860</v>
      </c>
      <c r="F23" s="167">
        <f t="shared" si="0"/>
        <v>0.78600000000000003</v>
      </c>
      <c r="G23" s="168">
        <f t="shared" si="1"/>
        <v>2.2002015451797112E-4</v>
      </c>
    </row>
    <row r="24" spans="2:7" x14ac:dyDescent="0.2">
      <c r="B24" s="13">
        <f>IF('ر-فرعي'!D31&gt;0,'ر-فرعي'!D31,"")</f>
        <v>10107006</v>
      </c>
      <c r="C24" s="14" t="str">
        <f>IF('ر-فرعي'!E31&gt;0,'ر-فرعي'!E31,"")</f>
        <v>رسوم اخرى ومتنوعة / ماجستير دولي</v>
      </c>
      <c r="D24" s="12">
        <f>IF('ر-فرعي'!F31&gt;0,'ر-فرعي'!F31,"")</f>
        <v>25000</v>
      </c>
      <c r="E24" s="177">
        <f>IF('ر-فرعي'!G31&gt;0,'ر-فرعي'!G31,"")</f>
        <v>11860.9</v>
      </c>
      <c r="F24" s="167">
        <f t="shared" si="0"/>
        <v>0.47443599999999997</v>
      </c>
      <c r="G24" s="168">
        <f t="shared" si="1"/>
        <v>3.3201489194938978E-4</v>
      </c>
    </row>
    <row r="25" spans="2:7" x14ac:dyDescent="0.2">
      <c r="B25" s="13">
        <f>IF('ر-فرعي'!D34&gt;0,'ر-فرعي'!D34,"")</f>
        <v>10108001</v>
      </c>
      <c r="C25" s="14" t="str">
        <f>IF('ر-فرعي'!E34&gt;0,'ر-فرعي'!E34,"")</f>
        <v>رسوم الساعات المعتمدة / ماجستير عادي</v>
      </c>
      <c r="D25" s="12">
        <f>IF('ر-فرعي'!F34&gt;0,'ر-فرعي'!F34,"")</f>
        <v>1700000</v>
      </c>
      <c r="E25" s="177">
        <f>IF('ر-فرعي'!G34&gt;0,'ر-فرعي'!G34,"")</f>
        <v>1422628.4979999999</v>
      </c>
      <c r="F25" s="167">
        <f t="shared" si="0"/>
        <v>0.83684029294117646</v>
      </c>
      <c r="G25" s="168">
        <f t="shared" si="1"/>
        <v>3.9822766151606757E-2</v>
      </c>
    </row>
    <row r="26" spans="2:7" x14ac:dyDescent="0.2">
      <c r="B26" s="13">
        <f>IF('ر-فرعي'!D35&gt;0,'ر-فرعي'!D35,"")</f>
        <v>10108002</v>
      </c>
      <c r="C26" s="14" t="str">
        <f>IF('ر-فرعي'!E35&gt;0,'ر-فرعي'!E35,"")</f>
        <v>خدمات جامعية / ماجستير عادي</v>
      </c>
      <c r="D26" s="12">
        <f>IF('ر-فرعي'!F35&gt;0,'ر-فرعي'!F35,"")</f>
        <v>200000</v>
      </c>
      <c r="E26" s="177">
        <f>IF('ر-فرعي'!G35&gt;0,'ر-فرعي'!G35,"")</f>
        <v>203879.16200000001</v>
      </c>
      <c r="F26" s="167">
        <f t="shared" si="0"/>
        <v>1.01939581</v>
      </c>
      <c r="G26" s="168">
        <f t="shared" si="1"/>
        <v>5.7070642145336473E-3</v>
      </c>
    </row>
    <row r="27" spans="2:7" x14ac:dyDescent="0.2">
      <c r="B27" s="13">
        <f>IF('ر-فرعي'!D36&gt;0,'ر-فرعي'!D36,"")</f>
        <v>10108003</v>
      </c>
      <c r="C27" s="14" t="str">
        <f>IF('ر-فرعي'!E36&gt;0,'ر-فرعي'!E36,"")</f>
        <v>رسوم استخدام مصادر تعليمية / ماجستير عادي</v>
      </c>
      <c r="D27" s="12">
        <f>IF('ر-فرعي'!F36&gt;0,'ر-فرعي'!F36,"")</f>
        <v>190000</v>
      </c>
      <c r="E27" s="177">
        <f>IF('ر-فرعي'!G36&gt;0,'ر-فرعي'!G36,"")</f>
        <v>153349.76800000001</v>
      </c>
      <c r="F27" s="167">
        <f t="shared" si="0"/>
        <v>0.80710404210526321</v>
      </c>
      <c r="G27" s="168">
        <f t="shared" si="1"/>
        <v>4.292625909752548E-3</v>
      </c>
    </row>
    <row r="28" spans="2:7" x14ac:dyDescent="0.2">
      <c r="B28" s="13">
        <f>IF('ر-فرعي'!D37&gt;0,'ر-فرعي'!D37,"")</f>
        <v>10108004</v>
      </c>
      <c r="C28" s="14" t="str">
        <f>IF('ر-فرعي'!E37&gt;0,'ر-فرعي'!E37,"")</f>
        <v>رسوم القبول / ماجستير عادي</v>
      </c>
      <c r="D28" s="12">
        <f>IF('ر-فرعي'!F37&gt;0,'ر-فرعي'!F37,"")</f>
        <v>150000</v>
      </c>
      <c r="E28" s="177">
        <f>IF('ر-فرعي'!G37&gt;0,'ر-فرعي'!G37,"")</f>
        <v>108055.8</v>
      </c>
      <c r="F28" s="167">
        <f t="shared" si="0"/>
        <v>0.72037200000000001</v>
      </c>
      <c r="G28" s="168">
        <f t="shared" si="1"/>
        <v>3.0247396708095397E-3</v>
      </c>
    </row>
    <row r="29" spans="2:7" x14ac:dyDescent="0.2">
      <c r="B29" s="13">
        <f>IF('ر-فرعي'!D38&gt;0,'ر-فرعي'!D38,"")</f>
        <v>10108005</v>
      </c>
      <c r="C29" s="14" t="str">
        <f>IF('ر-فرعي'!E38&gt;0,'ر-فرعي'!E38,"")</f>
        <v>رسوم طلب الالتحاق / ماجستير عادي</v>
      </c>
      <c r="D29" s="12">
        <f>IF('ر-فرعي'!F38&gt;0,'ر-فرعي'!F38,"")</f>
        <v>30000</v>
      </c>
      <c r="E29" s="177">
        <f>IF('ر-فرعي'!G38&gt;0,'ر-فرعي'!G38,"")</f>
        <v>21250.092000000001</v>
      </c>
      <c r="F29" s="167">
        <f t="shared" si="0"/>
        <v>0.70833639999999998</v>
      </c>
      <c r="G29" s="168">
        <f t="shared" si="1"/>
        <v>5.9484077930802828E-4</v>
      </c>
    </row>
    <row r="30" spans="2:7" x14ac:dyDescent="0.2">
      <c r="B30" s="13">
        <f>IF('ر-فرعي'!D39&gt;0,'ر-فرعي'!D39,"")</f>
        <v>10108006</v>
      </c>
      <c r="C30" s="14" t="str">
        <f>IF('ر-فرعي'!E39&gt;0,'ر-فرعي'!E39,"")</f>
        <v>رسوم اخرى متنوعة / ماجستير عادي</v>
      </c>
      <c r="D30" s="12">
        <f>IF('ر-فرعي'!F39&gt;0,'ر-فرعي'!F39,"")</f>
        <v>80000</v>
      </c>
      <c r="E30" s="177">
        <f>IF('ر-فرعي'!G39&gt;0,'ر-فرعي'!G39,"")</f>
        <v>62028.99</v>
      </c>
      <c r="F30" s="167">
        <f t="shared" si="0"/>
        <v>0.77536237499999994</v>
      </c>
      <c r="G30" s="168">
        <f t="shared" si="1"/>
        <v>1.7363394356734968E-3</v>
      </c>
    </row>
    <row r="31" spans="2:7" x14ac:dyDescent="0.2">
      <c r="B31" s="13">
        <f>IF('ر-فرعي'!D42&gt;0,'ر-فرعي'!D42,"")</f>
        <v>10109001</v>
      </c>
      <c r="C31" s="14" t="str">
        <f>IF('ر-فرعي'!E42&gt;0,'ر-فرعي'!E42,"")</f>
        <v>رسوم الساعات المعتمدة / دكتوراه دولي</v>
      </c>
      <c r="D31" s="12">
        <f>IF('ر-فرعي'!F42&gt;0,'ر-فرعي'!F42,"")</f>
        <v>10000</v>
      </c>
      <c r="E31" s="177" t="str">
        <f>IF('ر-فرعي'!G42&gt;0,'ر-فرعي'!G42,"")</f>
        <v/>
      </c>
      <c r="F31" s="167" t="str">
        <f t="shared" si="0"/>
        <v/>
      </c>
      <c r="G31" s="168" t="str">
        <f t="shared" si="1"/>
        <v/>
      </c>
    </row>
    <row r="32" spans="2:7" x14ac:dyDescent="0.2">
      <c r="B32" s="13">
        <f>IF('ر-فرعي'!D43&gt;0,'ر-فرعي'!D43,"")</f>
        <v>10109002</v>
      </c>
      <c r="C32" s="14" t="str">
        <f>IF('ر-فرعي'!E43&gt;0,'ر-فرعي'!E43,"")</f>
        <v>خدمات جامعية / دكتوراه دولي</v>
      </c>
      <c r="D32" s="12">
        <f>IF('ر-فرعي'!F43&gt;0,'ر-فرعي'!F43,"")</f>
        <v>5000</v>
      </c>
      <c r="E32" s="177" t="str">
        <f>IF('ر-فرعي'!G43&gt;0,'ر-فرعي'!G43,"")</f>
        <v/>
      </c>
      <c r="F32" s="167" t="str">
        <f t="shared" si="0"/>
        <v/>
      </c>
      <c r="G32" s="168" t="str">
        <f t="shared" si="1"/>
        <v/>
      </c>
    </row>
    <row r="33" spans="2:7" x14ac:dyDescent="0.2">
      <c r="B33" s="13">
        <f>IF('ر-فرعي'!D44&gt;0,'ر-فرعي'!D44,"")</f>
        <v>10109003</v>
      </c>
      <c r="C33" s="14" t="str">
        <f>IF('ر-فرعي'!E44&gt;0,'ر-فرعي'!E44,"")</f>
        <v>رسوم استخدام مصادر تعليمية/ دكتوراه دولي</v>
      </c>
      <c r="D33" s="12">
        <f>IF('ر-فرعي'!F44&gt;0,'ر-فرعي'!F44,"")</f>
        <v>5000</v>
      </c>
      <c r="E33" s="177" t="str">
        <f>IF('ر-فرعي'!G44&gt;0,'ر-فرعي'!G44,"")</f>
        <v/>
      </c>
      <c r="F33" s="167" t="str">
        <f t="shared" si="0"/>
        <v/>
      </c>
      <c r="G33" s="168" t="str">
        <f t="shared" si="1"/>
        <v/>
      </c>
    </row>
    <row r="34" spans="2:7" x14ac:dyDescent="0.2">
      <c r="B34" s="13">
        <f>IF('ر-فرعي'!D45&gt;0,'ر-فرعي'!D45,"")</f>
        <v>10109004</v>
      </c>
      <c r="C34" s="14" t="str">
        <f>IF('ر-فرعي'!E45&gt;0,'ر-فرعي'!E45,"")</f>
        <v>رسوم القبول / دكتوراه دولي</v>
      </c>
      <c r="D34" s="12">
        <f>IF('ر-فرعي'!F45&gt;0,'ر-فرعي'!F45,"")</f>
        <v>5000</v>
      </c>
      <c r="E34" s="177" t="str">
        <f>IF('ر-فرعي'!G45&gt;0,'ر-فرعي'!G45,"")</f>
        <v/>
      </c>
      <c r="F34" s="167" t="str">
        <f t="shared" si="0"/>
        <v/>
      </c>
      <c r="G34" s="168" t="str">
        <f t="shared" si="1"/>
        <v/>
      </c>
    </row>
    <row r="35" spans="2:7" x14ac:dyDescent="0.2">
      <c r="B35" s="13">
        <f>IF('ر-فرعي'!D46&gt;0,'ر-فرعي'!D46,"")</f>
        <v>10109005</v>
      </c>
      <c r="C35" s="14" t="str">
        <f>IF('ر-فرعي'!E46&gt;0,'ر-فرعي'!E46,"")</f>
        <v>رسوم طلب الالتحاق / دكتوراه دولي</v>
      </c>
      <c r="D35" s="12">
        <f>IF('ر-فرعي'!F46&gt;0,'ر-فرعي'!F46,"")</f>
        <v>5000</v>
      </c>
      <c r="E35" s="177" t="str">
        <f>IF('ر-فرعي'!G46&gt;0,'ر-فرعي'!G46,"")</f>
        <v/>
      </c>
      <c r="F35" s="167" t="str">
        <f t="shared" si="0"/>
        <v/>
      </c>
      <c r="G35" s="168" t="str">
        <f t="shared" si="1"/>
        <v/>
      </c>
    </row>
    <row r="36" spans="2:7" x14ac:dyDescent="0.2">
      <c r="B36" s="13">
        <f>IF('ر-فرعي'!D47&gt;0,'ر-فرعي'!D47,"")</f>
        <v>10109006</v>
      </c>
      <c r="C36" s="14" t="str">
        <f>IF('ر-فرعي'!E47&gt;0,'ر-فرعي'!E47,"")</f>
        <v>رسوم اخرى ومتنوعة / دكتوراه دولي</v>
      </c>
      <c r="D36" s="12">
        <f>IF('ر-فرعي'!F47&gt;0,'ر-فرعي'!F47,"")</f>
        <v>1000</v>
      </c>
      <c r="E36" s="177" t="str">
        <f>IF('ر-فرعي'!G47&gt;0,'ر-فرعي'!G47,"")</f>
        <v/>
      </c>
      <c r="F36" s="167" t="str">
        <f t="shared" si="0"/>
        <v/>
      </c>
      <c r="G36" s="168" t="str">
        <f t="shared" si="1"/>
        <v/>
      </c>
    </row>
    <row r="37" spans="2:7" x14ac:dyDescent="0.2">
      <c r="B37" s="13">
        <f>IF('ر-فرعي'!D50&gt;0,'ر-فرعي'!D50,"")</f>
        <v>10110001</v>
      </c>
      <c r="C37" s="14" t="str">
        <f>IF('ر-فرعي'!E50&gt;0,'ر-فرعي'!E50,"")</f>
        <v>رسوم الساعات المعتمدة / دكتوراه عادي</v>
      </c>
      <c r="D37" s="12">
        <f>IF('ر-فرعي'!F50&gt;0,'ر-فرعي'!F50,"")</f>
        <v>90000</v>
      </c>
      <c r="E37" s="177">
        <f>IF('ر-فرعي'!G50&gt;0,'ر-فرعي'!G50,"")</f>
        <v>95584</v>
      </c>
      <c r="F37" s="167">
        <f t="shared" si="0"/>
        <v>1.0620444444444443</v>
      </c>
      <c r="G37" s="168">
        <f t="shared" si="1"/>
        <v>2.675624230209383E-3</v>
      </c>
    </row>
    <row r="38" spans="2:7" x14ac:dyDescent="0.2">
      <c r="B38" s="13">
        <f>IF('ر-فرعي'!D51&gt;0,'ر-فرعي'!D51,"")</f>
        <v>10110002</v>
      </c>
      <c r="C38" s="14" t="str">
        <f>IF('ر-فرعي'!E51&gt;0,'ر-فرعي'!E51,"")</f>
        <v>خدمات جامعية / دكتوراه عادي</v>
      </c>
      <c r="D38" s="12">
        <f>IF('ر-فرعي'!F51&gt;0,'ر-فرعي'!F51,"")</f>
        <v>20000</v>
      </c>
      <c r="E38" s="177">
        <f>IF('ر-فرعي'!G51&gt;0,'ر-فرعي'!G51,"")</f>
        <v>22700</v>
      </c>
      <c r="F38" s="167">
        <f t="shared" si="0"/>
        <v>1.135</v>
      </c>
      <c r="G38" s="168">
        <f t="shared" si="1"/>
        <v>6.3542716381144329E-4</v>
      </c>
    </row>
    <row r="39" spans="2:7" x14ac:dyDescent="0.2">
      <c r="B39" s="13">
        <f>IF('ر-فرعي'!D52&gt;0,'ر-فرعي'!D52,"")</f>
        <v>10110003</v>
      </c>
      <c r="C39" s="14" t="str">
        <f>IF('ر-فرعي'!E52&gt;0,'ر-فرعي'!E52,"")</f>
        <v>رسوم استخدام مصادر تعليمية / دكتوراه عادي</v>
      </c>
      <c r="D39" s="12">
        <f>IF('ر-فرعي'!F52&gt;0,'ر-فرعي'!F52,"")</f>
        <v>9000</v>
      </c>
      <c r="E39" s="177">
        <f>IF('ر-فرعي'!G52&gt;0,'ر-فرعي'!G52,"")</f>
        <v>11350</v>
      </c>
      <c r="F39" s="167">
        <f t="shared" si="0"/>
        <v>1.2611111111111111</v>
      </c>
      <c r="G39" s="168">
        <f t="shared" si="1"/>
        <v>3.1771358190572165E-4</v>
      </c>
    </row>
    <row r="40" spans="2:7" x14ac:dyDescent="0.2">
      <c r="B40" s="13">
        <f>IF('ر-فرعي'!D53&gt;0,'ر-فرعي'!D53,"")</f>
        <v>10110004</v>
      </c>
      <c r="C40" s="14" t="str">
        <f>IF('ر-فرعي'!E53&gt;0,'ر-فرعي'!E53,"")</f>
        <v>رسوم القبول / دكتوراه عادي</v>
      </c>
      <c r="D40" s="12">
        <f>IF('ر-فرعي'!F53&gt;0,'ر-فرعي'!F53,"")</f>
        <v>5000</v>
      </c>
      <c r="E40" s="177">
        <f>IF('ر-فرعي'!G53&gt;0,'ر-فرعي'!G53,"")</f>
        <v>6900</v>
      </c>
      <c r="F40" s="167">
        <f t="shared" si="0"/>
        <v>1.38</v>
      </c>
      <c r="G40" s="168">
        <f t="shared" si="1"/>
        <v>1.9314746388982197E-4</v>
      </c>
    </row>
    <row r="41" spans="2:7" x14ac:dyDescent="0.2">
      <c r="B41" s="13">
        <f>IF('ر-فرعي'!D54&gt;0,'ر-فرعي'!D54,"")</f>
        <v>10110005</v>
      </c>
      <c r="C41" s="14" t="str">
        <f>IF('ر-فرعي'!E54&gt;0,'ر-فرعي'!E54,"")</f>
        <v>رسوم طلب الالتحاق / دكتوراه عادي</v>
      </c>
      <c r="D41" s="12">
        <f>IF('ر-فرعي'!F54&gt;0,'ر-فرعي'!F54,"")</f>
        <v>1000</v>
      </c>
      <c r="E41" s="177">
        <f>IF('ر-فرعي'!G54&gt;0,'ر-فرعي'!G54,"")</f>
        <v>1500</v>
      </c>
      <c r="F41" s="167">
        <f t="shared" si="0"/>
        <v>1.5</v>
      </c>
      <c r="G41" s="168">
        <f t="shared" si="1"/>
        <v>4.1988579106483035E-5</v>
      </c>
    </row>
    <row r="42" spans="2:7" x14ac:dyDescent="0.2">
      <c r="B42" s="13">
        <f>IF('ر-فرعي'!D55&gt;0,'ر-فرعي'!D55,"")</f>
        <v>10110006</v>
      </c>
      <c r="C42" s="14" t="str">
        <f>IF('ر-فرعي'!E55&gt;0,'ر-فرعي'!E55,"")</f>
        <v>رسوم اخرى ومتنوعة / دكتوراه عادي</v>
      </c>
      <c r="D42" s="12">
        <f>IF('ر-فرعي'!F55&gt;0,'ر-فرعي'!F55,"")</f>
        <v>3000</v>
      </c>
      <c r="E42" s="177">
        <f>IF('ر-فرعي'!G55&gt;0,'ر-فرعي'!G55,"")</f>
        <v>2101.1999999999998</v>
      </c>
      <c r="F42" s="167">
        <f t="shared" si="0"/>
        <v>0.70039999999999991</v>
      </c>
      <c r="G42" s="168">
        <f t="shared" si="1"/>
        <v>5.8817601612361433E-5</v>
      </c>
    </row>
    <row r="43" spans="2:7" x14ac:dyDescent="0.2">
      <c r="B43" s="13">
        <f>IF('ر-فرعي'!D58&gt;0,'ر-فرعي'!D58,"")</f>
        <v>10111001</v>
      </c>
      <c r="C43" s="14" t="str">
        <f>IF('ر-فرعي'!E58&gt;0,'ر-فرعي'!E58,"")</f>
        <v>رسوم الساعات المعتمدة / دبلوم عالي</v>
      </c>
      <c r="D43" s="12">
        <f>IF('ر-فرعي'!F58&gt;0,'ر-فرعي'!F58,"")</f>
        <v>500000</v>
      </c>
      <c r="E43" s="177">
        <f>IF('ر-فرعي'!G58&gt;0,'ر-فرعي'!G58,"")</f>
        <v>1396064.3</v>
      </c>
      <c r="F43" s="167">
        <f t="shared" si="0"/>
        <v>2.7921286000000003</v>
      </c>
      <c r="G43" s="168">
        <f t="shared" si="1"/>
        <v>3.9079170865524579E-2</v>
      </c>
    </row>
    <row r="44" spans="2:7" x14ac:dyDescent="0.2">
      <c r="B44" s="13">
        <f>IF('ر-فرعي'!D59&gt;0,'ر-فرعي'!D59,"")</f>
        <v>10111002</v>
      </c>
      <c r="C44" s="14" t="str">
        <f>IF('ر-فرعي'!E59&gt;0,'ر-فرعي'!E59,"")</f>
        <v>خدمات جامعية / دبلوم عالي</v>
      </c>
      <c r="D44" s="12">
        <f>IF('ر-فرعي'!F59&gt;0,'ر-فرعي'!F59,"")</f>
        <v>40000</v>
      </c>
      <c r="E44" s="177">
        <f>IF('ر-فرعي'!G59&gt;0,'ر-فرعي'!G59,"")</f>
        <v>107731.49</v>
      </c>
      <c r="F44" s="167">
        <f t="shared" si="0"/>
        <v>2.69328725</v>
      </c>
      <c r="G44" s="168">
        <f t="shared" si="1"/>
        <v>3.0156614600828574E-3</v>
      </c>
    </row>
    <row r="45" spans="2:7" x14ac:dyDescent="0.2">
      <c r="B45" s="13">
        <f>IF('ر-فرعي'!D60&gt;0,'ر-فرعي'!D60,"")</f>
        <v>10111003</v>
      </c>
      <c r="C45" s="14" t="str">
        <f>IF('ر-فرعي'!E60&gt;0,'ر-فرعي'!E60,"")</f>
        <v>رسوم القبول / دبلوم عالي</v>
      </c>
      <c r="D45" s="12">
        <f>IF('ر-فرعي'!F60&gt;0,'ر-فرعي'!F60,"")</f>
        <v>10000</v>
      </c>
      <c r="E45" s="177">
        <f>IF('ر-فرعي'!G60&gt;0,'ر-فرعي'!G60,"")</f>
        <v>14528.1</v>
      </c>
      <c r="F45" s="167">
        <f t="shared" si="0"/>
        <v>1.4528099999999999</v>
      </c>
      <c r="G45" s="168">
        <f t="shared" si="1"/>
        <v>4.0667618407793082E-4</v>
      </c>
    </row>
    <row r="46" spans="2:7" x14ac:dyDescent="0.2">
      <c r="B46" s="13">
        <f>IF('ر-فرعي'!D61&gt;0,'ر-فرعي'!D61,"")</f>
        <v>10111004</v>
      </c>
      <c r="C46" s="14" t="str">
        <f>IF('ر-فرعي'!E61&gt;0,'ر-فرعي'!E61,"")</f>
        <v>رسوم طلب الالتحاق / دبلوم عالي</v>
      </c>
      <c r="D46" s="12">
        <f>IF('ر-فرعي'!F61&gt;0,'ر-فرعي'!F61,"")</f>
        <v>10000</v>
      </c>
      <c r="E46" s="177">
        <f>IF('ر-فرعي'!G61&gt;0,'ر-فرعي'!G61,"")</f>
        <v>16065</v>
      </c>
      <c r="F46" s="167">
        <f t="shared" si="0"/>
        <v>1.6065</v>
      </c>
      <c r="G46" s="168">
        <f t="shared" si="1"/>
        <v>4.4969768223043332E-4</v>
      </c>
    </row>
    <row r="47" spans="2:7" x14ac:dyDescent="0.2">
      <c r="B47" s="13">
        <f>IF('ر-فرعي'!D62&gt;0,'ر-فرعي'!D62,"")</f>
        <v>10111005</v>
      </c>
      <c r="C47" s="14" t="str">
        <f>IF('ر-فرعي'!E62&gt;0,'ر-فرعي'!E62,"")</f>
        <v>رسوم اخرى ومتنوعة / دبلوم عالي</v>
      </c>
      <c r="D47" s="12">
        <f>IF('ر-فرعي'!F62&gt;0,'ر-فرعي'!F62,"")</f>
        <v>17000</v>
      </c>
      <c r="E47" s="177">
        <f>IF('ر-فرعي'!G62&gt;0,'ر-فرعي'!G62,"")</f>
        <v>26844.75</v>
      </c>
      <c r="F47" s="167">
        <f t="shared" si="0"/>
        <v>1.5791029411764705</v>
      </c>
      <c r="G47" s="168">
        <f t="shared" si="1"/>
        <v>7.5144860597917368E-4</v>
      </c>
    </row>
    <row r="48" spans="2:7" x14ac:dyDescent="0.2">
      <c r="B48" s="13">
        <f>IF('ر-فرعي'!D65&gt;0,'ر-فرعي'!D65,"")</f>
        <v>10120001</v>
      </c>
      <c r="C48" s="14" t="str">
        <f>IF('ر-فرعي'!E65&gt;0,'ر-فرعي'!E65,"")</f>
        <v>رسوم جامعية مستحقة (بكالوريوس عادي)</v>
      </c>
      <c r="D48" s="12">
        <f>IF('ر-فرعي'!F65&gt;0,'ر-فرعي'!F65,"")</f>
        <v>800000</v>
      </c>
      <c r="E48" s="177">
        <f>IF('ر-فرعي'!G65&gt;0,'ر-فرعي'!G65,"")</f>
        <v>564219.56099999999</v>
      </c>
      <c r="F48" s="167">
        <f t="shared" si="0"/>
        <v>0.70527445124999999</v>
      </c>
      <c r="G48" s="168">
        <f t="shared" si="1"/>
        <v>1.5793851780315754E-2</v>
      </c>
    </row>
    <row r="49" spans="2:7" x14ac:dyDescent="0.2">
      <c r="B49" s="13">
        <f>IF('ر-فرعي'!D66&gt;0,'ر-فرعي'!D66,"")</f>
        <v>10120002</v>
      </c>
      <c r="C49" s="14" t="str">
        <f>IF('ر-فرعي'!E66&gt;0,'ر-فرعي'!E66,"")</f>
        <v xml:space="preserve">رسوم جامعية مستحقة (البرامج الأخرى) </v>
      </c>
      <c r="D49" s="12">
        <f>IF('ر-فرعي'!F66&gt;0,'ر-فرعي'!F66,"")</f>
        <v>80000</v>
      </c>
      <c r="E49" s="177">
        <f>IF('ر-فرعي'!G66&gt;0,'ر-فرعي'!G66,"")</f>
        <v>6564.0290000000005</v>
      </c>
      <c r="F49" s="167">
        <f t="shared" si="0"/>
        <v>8.2050362500000001E-2</v>
      </c>
      <c r="G49" s="168">
        <f t="shared" si="1"/>
        <v>1.8374283394916583E-4</v>
      </c>
    </row>
    <row r="50" spans="2:7" x14ac:dyDescent="0.2">
      <c r="B50" s="319" t="str">
        <f>'ر-فرعي'!B68:E68</f>
        <v>مجموع الفصل الأول: الرسوم الجامعية</v>
      </c>
      <c r="C50" s="319"/>
      <c r="D50" s="57">
        <f>SUM(D6:D49)</f>
        <v>21233550</v>
      </c>
      <c r="E50" s="57">
        <f>SUM(E6:E49)</f>
        <v>19266506.261999998</v>
      </c>
      <c r="F50" s="167">
        <f t="shared" si="0"/>
        <v>0.90736152277880988</v>
      </c>
      <c r="G50" s="168">
        <f t="shared" si="1"/>
        <v>0.53931548152502518</v>
      </c>
    </row>
    <row r="51" spans="2:7" s="37" customFormat="1" x14ac:dyDescent="0.2">
      <c r="B51" s="330" t="str">
        <f>'ر-فرعي'!B69:E69</f>
        <v>مجموع الباب الأول: الرسوم الجامعية</v>
      </c>
      <c r="C51" s="330"/>
      <c r="D51" s="52">
        <f>SUM(D50)</f>
        <v>21233550</v>
      </c>
      <c r="E51" s="52">
        <f t="shared" ref="E51" si="2">SUM(E50)</f>
        <v>19266506.261999998</v>
      </c>
      <c r="F51" s="167">
        <f t="shared" si="0"/>
        <v>0.90736152277880988</v>
      </c>
      <c r="G51" s="168">
        <f t="shared" si="1"/>
        <v>0.53931548152502518</v>
      </c>
    </row>
    <row r="52" spans="2:7" x14ac:dyDescent="0.2">
      <c r="B52" s="313" t="str">
        <f>'ر-فرعي'!B70:G70</f>
        <v>الباب الثاني: الدعم الحكومي</v>
      </c>
      <c r="C52" s="313"/>
      <c r="D52" s="313"/>
      <c r="E52" s="313"/>
      <c r="F52" s="313"/>
      <c r="G52" s="313"/>
    </row>
    <row r="53" spans="2:7" x14ac:dyDescent="0.2">
      <c r="B53" s="334" t="str">
        <f>'ر-فرعي'!B71:G71</f>
        <v>الفصل الأول: الدعم الحكومي</v>
      </c>
      <c r="C53" s="334"/>
      <c r="D53" s="334"/>
      <c r="E53" s="334"/>
      <c r="F53" s="334"/>
      <c r="G53" s="334"/>
    </row>
    <row r="54" spans="2:7" x14ac:dyDescent="0.2">
      <c r="B54" s="13">
        <f>IF('ر-فرعي'!D73&gt;0,'ر-فرعي'!D73,"")</f>
        <v>11201001</v>
      </c>
      <c r="C54" s="14" t="str">
        <f>IF('ر-فرعي'!E73&gt;0,'ر-فرعي'!E73,"")</f>
        <v>الدعم الحكومي من الرسوم الجمركية والاضافية</v>
      </c>
      <c r="D54" s="12">
        <f>IF('ر-فرعي'!F73&gt;0,'ر-فرعي'!F73,"")</f>
        <v>7600000</v>
      </c>
      <c r="E54" s="177">
        <f>IF('ر-فرعي'!G73&gt;0,'ر-فرعي'!G73,"")</f>
        <v>7356033</v>
      </c>
      <c r="F54" s="167">
        <f t="shared" si="0"/>
        <v>0.96789907894736837</v>
      </c>
      <c r="G54" s="168">
        <f t="shared" si="1"/>
        <v>0.20591291568693315</v>
      </c>
    </row>
    <row r="55" spans="2:7" x14ac:dyDescent="0.2">
      <c r="B55" s="319" t="str">
        <f>'ر-فرعي'!B75:E75</f>
        <v>مجموع الفصل الأول: الدعم الحكومي</v>
      </c>
      <c r="C55" s="319"/>
      <c r="D55" s="57">
        <f>SUM(D54:D54)</f>
        <v>7600000</v>
      </c>
      <c r="E55" s="57">
        <f>SUM(E54:E54)</f>
        <v>7356033</v>
      </c>
      <c r="F55" s="167">
        <f t="shared" si="0"/>
        <v>0.96789907894736837</v>
      </c>
      <c r="G55" s="168">
        <f t="shared" si="1"/>
        <v>0.20591291568693315</v>
      </c>
    </row>
    <row r="56" spans="2:7" x14ac:dyDescent="0.2">
      <c r="B56" s="330" t="str">
        <f>'ر-فرعي'!B76:E76</f>
        <v>مجموع الباب الثاني: الدعم الحكومي</v>
      </c>
      <c r="C56" s="330"/>
      <c r="D56" s="52">
        <f>D55</f>
        <v>7600000</v>
      </c>
      <c r="E56" s="52">
        <f>E55</f>
        <v>7356033</v>
      </c>
      <c r="F56" s="167">
        <f t="shared" si="0"/>
        <v>0.96789907894736837</v>
      </c>
      <c r="G56" s="168">
        <f t="shared" si="1"/>
        <v>0.20591291568693315</v>
      </c>
    </row>
    <row r="57" spans="2:7" s="37" customFormat="1" x14ac:dyDescent="0.2">
      <c r="B57" s="313" t="str">
        <f>'ر-فرعي'!B77:G77</f>
        <v>الباب الثالث: الإيرادات الذاتية الأخرى</v>
      </c>
      <c r="C57" s="313"/>
      <c r="D57" s="313"/>
      <c r="E57" s="313"/>
      <c r="F57" s="313"/>
      <c r="G57" s="313"/>
    </row>
    <row r="58" spans="2:7" x14ac:dyDescent="0.2">
      <c r="B58" s="334" t="str">
        <f>'ر-فرعي'!B78:G78</f>
        <v>الفصل الأول: ريع الأموال المنقولة وغير المنقولة</v>
      </c>
      <c r="C58" s="334"/>
      <c r="D58" s="334"/>
      <c r="E58" s="334"/>
      <c r="F58" s="334"/>
      <c r="G58" s="334"/>
    </row>
    <row r="59" spans="2:7" x14ac:dyDescent="0.2">
      <c r="B59" s="13">
        <f>IF('ر-فرعي'!D80&gt;0,'ر-فرعي'!D80,"")</f>
        <v>10201001</v>
      </c>
      <c r="C59" s="14" t="str">
        <f>IF('ر-فرعي'!E80&gt;0,'ر-فرعي'!E80,"")</f>
        <v>فوائد بنكية دائنة</v>
      </c>
      <c r="D59" s="12">
        <f>IF('ر-فرعي'!F80&gt;0,'ر-فرعي'!F80,"")</f>
        <v>300</v>
      </c>
      <c r="E59" s="177">
        <f>IF('ر-فرعي'!G80&gt;0,'ر-فرعي'!G80,"")</f>
        <v>4918.0619999999999</v>
      </c>
      <c r="F59" s="167">
        <f t="shared" si="0"/>
        <v>16.393539999999998</v>
      </c>
      <c r="G59" s="168">
        <f t="shared" si="1"/>
        <v>1.3766829022505877E-4</v>
      </c>
    </row>
    <row r="60" spans="2:7" x14ac:dyDescent="0.2">
      <c r="B60" s="13">
        <f>IF('ر-فرعي'!D83&gt;0,'ر-فرعي'!D83,"")</f>
        <v>10203001</v>
      </c>
      <c r="C60" s="14" t="str">
        <f>IF('ر-فرعي'!E83&gt;0,'ر-فرعي'!E83,"")</f>
        <v>ايرادات سكن الطالبات</v>
      </c>
      <c r="D60" s="12">
        <f>IF('ر-فرعي'!F83&gt;0,'ر-فرعي'!F83,"")</f>
        <v>15000</v>
      </c>
      <c r="E60" s="177">
        <f>IF('ر-فرعي'!G83&gt;0,'ر-فرعي'!G83,"")</f>
        <v>1046.25</v>
      </c>
      <c r="F60" s="167">
        <f t="shared" si="0"/>
        <v>6.9750000000000006E-2</v>
      </c>
      <c r="G60" s="168">
        <f t="shared" si="1"/>
        <v>2.9287033926771917E-5</v>
      </c>
    </row>
    <row r="61" spans="2:7" x14ac:dyDescent="0.2">
      <c r="B61" s="13">
        <f>IF('ر-فرعي'!D84&gt;0,'ر-فرعي'!D84,"")</f>
        <v>10203002</v>
      </c>
      <c r="C61" s="14" t="str">
        <f>IF('ر-فرعي'!E84&gt;0,'ر-فرعي'!E84,"")</f>
        <v>ايرادات سكن العاملين</v>
      </c>
      <c r="D61" s="12">
        <f>IF('ر-فرعي'!F84&gt;0,'ر-فرعي'!F84,"")</f>
        <v>1000</v>
      </c>
      <c r="E61" s="177">
        <f>IF('ر-فرعي'!G84&gt;0,'ر-فرعي'!G84,"")</f>
        <v>50</v>
      </c>
      <c r="F61" s="167">
        <f t="shared" si="0"/>
        <v>0.05</v>
      </c>
      <c r="G61" s="168">
        <f t="shared" si="1"/>
        <v>1.3996193035494346E-6</v>
      </c>
    </row>
    <row r="62" spans="2:7" x14ac:dyDescent="0.2">
      <c r="B62" s="13">
        <f>IF('ر-فرعي'!D85&gt;0,'ر-فرعي'!D85,"")</f>
        <v>10203003</v>
      </c>
      <c r="C62" s="14" t="str">
        <f>IF('ر-فرعي'!E85&gt;0,'ر-فرعي'!E85,"")</f>
        <v>ايرادات سكن السقاية والرفادة</v>
      </c>
      <c r="D62" s="12">
        <f>IF('ر-فرعي'!F85&gt;0,'ر-فرعي'!F85,"")</f>
        <v>3000</v>
      </c>
      <c r="E62" s="177">
        <f>IF('ر-فرعي'!G85&gt;0,'ر-فرعي'!G85,"")</f>
        <v>5712.9920000000002</v>
      </c>
      <c r="F62" s="167">
        <f t="shared" si="0"/>
        <v>1.9043306666666668</v>
      </c>
      <c r="G62" s="168">
        <f t="shared" si="1"/>
        <v>1.5992027768446982E-4</v>
      </c>
    </row>
    <row r="63" spans="2:7" x14ac:dyDescent="0.2">
      <c r="B63" s="13">
        <f>IF('ر-فرعي'!D86&gt;0,'ر-فرعي'!D86,"")</f>
        <v>10203004</v>
      </c>
      <c r="C63" s="14" t="str">
        <f>IF('ر-فرعي'!E86&gt;0,'ر-فرعي'!E86,"")</f>
        <v>ايرادات سكن الطلاب</v>
      </c>
      <c r="D63" s="12">
        <f>IF('ر-فرعي'!F86&gt;0,'ر-فرعي'!F86,"")</f>
        <v>3000</v>
      </c>
      <c r="E63" s="177">
        <f>IF('ر-فرعي'!G86&gt;0,'ر-فرعي'!G86,"")</f>
        <v>736.75</v>
      </c>
      <c r="F63" s="167">
        <f t="shared" si="0"/>
        <v>0.24558333333333332</v>
      </c>
      <c r="G63" s="168">
        <f t="shared" si="1"/>
        <v>2.0623390437800918E-5</v>
      </c>
    </row>
    <row r="64" spans="2:7" x14ac:dyDescent="0.2">
      <c r="B64" s="13">
        <f>IF('ر-فرعي'!D87&gt;0,'ر-فرعي'!D87,"")</f>
        <v>10203005</v>
      </c>
      <c r="C64" s="14" t="str">
        <f>IF('ر-فرعي'!E87&gt;0,'ر-فرعي'!E87,"")</f>
        <v>ايرادات الوحدات السكنية</v>
      </c>
      <c r="D64" s="12">
        <f>IF('ر-فرعي'!F87&gt;0,'ر-فرعي'!F87,"")</f>
        <v>20000</v>
      </c>
      <c r="E64" s="177">
        <f>IF('ر-فرعي'!G87&gt;0,'ر-فرعي'!G87,"")</f>
        <v>18900</v>
      </c>
      <c r="F64" s="167">
        <f t="shared" si="0"/>
        <v>0.94499999999999995</v>
      </c>
      <c r="G64" s="168">
        <f t="shared" si="1"/>
        <v>5.2905609674168625E-4</v>
      </c>
    </row>
    <row r="65" spans="2:7" x14ac:dyDescent="0.2">
      <c r="B65" s="13">
        <f>IF('ر-فرعي'!D90&gt;0,'ر-فرعي'!D90,"")</f>
        <v>10204002</v>
      </c>
      <c r="C65" s="14" t="str">
        <f>IF('ر-فرعي'!E90&gt;0,'ر-فرعي'!E90,"")</f>
        <v>بدل ايجار مواقع خدمات التصوير والنسخ</v>
      </c>
      <c r="D65" s="12">
        <f>IF('ر-فرعي'!F90&gt;0,'ر-فرعي'!F90,"")</f>
        <v>60000</v>
      </c>
      <c r="E65" s="177">
        <f>IF('ر-فرعي'!G90&gt;0,'ر-فرعي'!G90,"")</f>
        <v>18350</v>
      </c>
      <c r="F65" s="167">
        <f t="shared" si="0"/>
        <v>0.30583333333333335</v>
      </c>
      <c r="G65" s="168">
        <f t="shared" si="1"/>
        <v>5.1366028440264248E-4</v>
      </c>
    </row>
    <row r="66" spans="2:7" x14ac:dyDescent="0.2">
      <c r="B66" s="13">
        <f>IF('ر-فرعي'!D91&gt;0,'ر-فرعي'!D91,"")</f>
        <v>10204003</v>
      </c>
      <c r="C66" s="14" t="str">
        <f>IF('ر-فرعي'!E91&gt;0,'ر-فرعي'!E91,"")</f>
        <v>بدل ايجار مباني ومواقع أخرى ..</v>
      </c>
      <c r="D66" s="12">
        <f>IF('ر-فرعي'!F91&gt;0,'ر-فرعي'!F91,"")</f>
        <v>40000</v>
      </c>
      <c r="E66" s="177">
        <f>IF('ر-فرعي'!G91&gt;0,'ر-فرعي'!G91,"")</f>
        <v>27625</v>
      </c>
      <c r="F66" s="167">
        <f t="shared" si="0"/>
        <v>0.69062500000000004</v>
      </c>
      <c r="G66" s="168">
        <f t="shared" si="1"/>
        <v>7.7328966521106259E-4</v>
      </c>
    </row>
    <row r="67" spans="2:7" x14ac:dyDescent="0.2">
      <c r="B67" s="13">
        <f>IF('ر-فرعي'!D92&gt;0,'ر-فرعي'!D92,"")</f>
        <v>10204004</v>
      </c>
      <c r="C67" s="14" t="str">
        <f>IF('ر-فرعي'!E92&gt;0,'ر-فرعي'!E92,"")</f>
        <v>ايراد بدل ايجار السوق التجاري</v>
      </c>
      <c r="D67" s="12">
        <f>IF('ر-فرعي'!F92&gt;0,'ر-فرعي'!F92,"")</f>
        <v>120000</v>
      </c>
      <c r="E67" s="177">
        <f>IF('ر-فرعي'!G92&gt;0,'ر-فرعي'!G92,"")</f>
        <v>8575</v>
      </c>
      <c r="F67" s="167">
        <f t="shared" si="0"/>
        <v>7.1458333333333332E-2</v>
      </c>
      <c r="G67" s="168">
        <f t="shared" si="1"/>
        <v>2.4003471055872801E-4</v>
      </c>
    </row>
    <row r="68" spans="2:7" x14ac:dyDescent="0.2">
      <c r="B68" s="13">
        <f>IF('ر-فرعي'!D93&gt;0,'ر-فرعي'!D93,"")</f>
        <v>10204007</v>
      </c>
      <c r="C68" s="14" t="str">
        <f>IF('ر-فرعي'!E93&gt;0,'ر-فرعي'!E93,"")</f>
        <v>بدل ايجار مبنى الصيدلية</v>
      </c>
      <c r="D68" s="12">
        <f>IF('ر-فرعي'!F93&gt;0,'ر-فرعي'!F93,"")</f>
        <v>2000</v>
      </c>
      <c r="E68" s="177" t="str">
        <f>IF('ر-فرعي'!G93&gt;0,'ر-فرعي'!G93,"")</f>
        <v/>
      </c>
      <c r="F68" s="167" t="str">
        <f t="shared" si="0"/>
        <v/>
      </c>
      <c r="G68" s="168" t="str">
        <f t="shared" si="1"/>
        <v/>
      </c>
    </row>
    <row r="69" spans="2:7" x14ac:dyDescent="0.2">
      <c r="B69" s="13">
        <f>IF('ر-فرعي'!D94&gt;0,'ر-فرعي'!D94,"")</f>
        <v>10204009</v>
      </c>
      <c r="C69" s="14" t="str">
        <f>IF('ر-فرعي'!E94&gt;0,'ر-فرعي'!E94,"")</f>
        <v>بدل تاجير مواقع بيع الكتب والمقررات الدراسية</v>
      </c>
      <c r="D69" s="12">
        <f>IF('ر-فرعي'!F94&gt;0,'ر-فرعي'!F94,"")</f>
        <v>7000</v>
      </c>
      <c r="E69" s="177" t="str">
        <f>IF('ر-فرعي'!G94&gt;0,'ر-فرعي'!G94,"")</f>
        <v/>
      </c>
      <c r="F69" s="167" t="str">
        <f t="shared" si="0"/>
        <v/>
      </c>
      <c r="G69" s="168" t="str">
        <f t="shared" si="1"/>
        <v/>
      </c>
    </row>
    <row r="70" spans="2:7" x14ac:dyDescent="0.2">
      <c r="B70" s="13">
        <f>IF('ر-فرعي'!D95&gt;0,'ر-فرعي'!D95,"")</f>
        <v>10204019</v>
      </c>
      <c r="C70" s="14" t="str">
        <f>IF('ر-فرعي'!E95&gt;0,'ر-فرعي'!E95,"")</f>
        <v>إيراد بدل إيجار المطاعم</v>
      </c>
      <c r="D70" s="12">
        <f>IF('ر-فرعي'!F95&gt;0,'ر-فرعي'!F95,"")</f>
        <v>42000</v>
      </c>
      <c r="E70" s="177" t="str">
        <f>IF('ر-فرعي'!G95&gt;0,'ر-فرعي'!G95,"")</f>
        <v/>
      </c>
      <c r="F70" s="167" t="str">
        <f t="shared" si="0"/>
        <v/>
      </c>
      <c r="G70" s="168" t="str">
        <f t="shared" si="1"/>
        <v/>
      </c>
    </row>
    <row r="71" spans="2:7" x14ac:dyDescent="0.2">
      <c r="B71" s="13">
        <f>IF('ر-فرعي'!D96&gt;0,'ر-فرعي'!D96,"")</f>
        <v>10204020</v>
      </c>
      <c r="C71" s="14" t="str">
        <f>IF('ر-فرعي'!E96&gt;0,'ر-فرعي'!E96,"")</f>
        <v>إيراد بدل إيجار الكافتيريات</v>
      </c>
      <c r="D71" s="12">
        <f>IF('ر-فرعي'!F96&gt;0,'ر-فرعي'!F96,"")</f>
        <v>117000</v>
      </c>
      <c r="E71" s="177">
        <f>IF('ر-فرعي'!G96&gt;0,'ر-فرعي'!G96,"")</f>
        <v>10711.625</v>
      </c>
      <c r="F71" s="167">
        <f t="shared" ref="F71:F111" si="3">IFERROR(E71/D71,"")</f>
        <v>9.1552350427350424E-2</v>
      </c>
      <c r="G71" s="168">
        <f t="shared" ref="G71:G111" si="4">IFERROR(E71/$D$111,"")</f>
        <v>2.9984394244765426E-4</v>
      </c>
    </row>
    <row r="72" spans="2:7" x14ac:dyDescent="0.2">
      <c r="B72" s="13">
        <f>IF('ر-فرعي'!D97&gt;0,'ر-فرعي'!D97,"")</f>
        <v>10204021</v>
      </c>
      <c r="C72" s="14" t="str">
        <f>IF('ر-فرعي'!E97&gt;0,'ر-فرعي'!E97,"")</f>
        <v>إيراد بدل إيجار الأكشاك</v>
      </c>
      <c r="D72" s="12">
        <f>IF('ر-فرعي'!F97&gt;0,'ر-فرعي'!F97,"")</f>
        <v>80000</v>
      </c>
      <c r="E72" s="177">
        <f>IF('ر-فرعي'!G97&gt;0,'ر-فرعي'!G97,"")</f>
        <v>7191</v>
      </c>
      <c r="F72" s="167">
        <f t="shared" si="3"/>
        <v>8.9887499999999995E-2</v>
      </c>
      <c r="G72" s="168">
        <f t="shared" si="4"/>
        <v>2.0129324823647967E-4</v>
      </c>
    </row>
    <row r="73" spans="2:7" x14ac:dyDescent="0.2">
      <c r="B73" s="13">
        <f>IF('ر-فرعي'!D98&gt;0,'ر-فرعي'!D98,"")</f>
        <v>10204022</v>
      </c>
      <c r="C73" s="14" t="str">
        <f>IF('ر-فرعي'!E98&gt;0,'ر-فرعي'!E98,"")</f>
        <v>إيراد بدل إيجار أبراج الاتصالات</v>
      </c>
      <c r="D73" s="12">
        <f>IF('ر-فرعي'!F98&gt;0,'ر-فرعي'!F98,"")</f>
        <v>50000</v>
      </c>
      <c r="E73" s="177">
        <f>IF('ر-فرعي'!G98&gt;0,'ر-فرعي'!G98,"")</f>
        <v>30000</v>
      </c>
      <c r="F73" s="167">
        <f t="shared" si="3"/>
        <v>0.6</v>
      </c>
      <c r="G73" s="168">
        <f t="shared" si="4"/>
        <v>8.3977158212966078E-4</v>
      </c>
    </row>
    <row r="74" spans="2:7" x14ac:dyDescent="0.2">
      <c r="B74" s="13">
        <f>IF('ر-فرعي'!D101&gt;0,'ر-فرعي'!D101,"")</f>
        <v>10205001</v>
      </c>
      <c r="C74" s="14" t="str">
        <f>IF('ر-فرعي'!E101&gt;0,'ر-فرعي'!E101,"")</f>
        <v>إيرادات بدل ايجار مواقع مستحقة عن سنوات سابقة</v>
      </c>
      <c r="D74" s="12">
        <f>IF('ر-فرعي'!F101&gt;0,'ر-فرعي'!F101,"")</f>
        <v>100000</v>
      </c>
      <c r="E74" s="177">
        <f>IF('ر-فرعي'!G101&gt;0,'ر-فرعي'!G101,"")</f>
        <v>133244.99299999999</v>
      </c>
      <c r="F74" s="167">
        <f t="shared" si="3"/>
        <v>1.3324499299999999</v>
      </c>
      <c r="G74" s="168">
        <f t="shared" si="4"/>
        <v>3.7298452860821851E-3</v>
      </c>
    </row>
    <row r="75" spans="2:7" x14ac:dyDescent="0.2">
      <c r="B75" s="319" t="str">
        <f>'ر-فرعي'!B103:E103</f>
        <v>مجموع الفصل الأول: ريع الأموال المنقولة وغير المنقولة</v>
      </c>
      <c r="C75" s="319"/>
      <c r="D75" s="57">
        <f>SUM(D59:D74)</f>
        <v>660300</v>
      </c>
      <c r="E75" s="57">
        <f>SUM(E59:E74)</f>
        <v>267061.67200000002</v>
      </c>
      <c r="F75" s="167">
        <f t="shared" si="3"/>
        <v>0.40445505376344087</v>
      </c>
      <c r="G75" s="168">
        <f t="shared" si="4"/>
        <v>7.4756934273877513E-3</v>
      </c>
    </row>
    <row r="76" spans="2:7" x14ac:dyDescent="0.2">
      <c r="B76" s="334" t="str">
        <f>'ر-فرعي'!B104:G104</f>
        <v xml:space="preserve">الفصل الثاني: إيرادات متنوعة ومراكز علمية وسنين سابقة </v>
      </c>
      <c r="C76" s="334"/>
      <c r="D76" s="334"/>
      <c r="E76" s="334"/>
      <c r="F76" s="334"/>
      <c r="G76" s="334"/>
    </row>
    <row r="77" spans="2:7" x14ac:dyDescent="0.2">
      <c r="B77" s="13">
        <f>IF('ر-فرعي'!D106&gt;0,'ر-فرعي'!D106,"")</f>
        <v>11001002</v>
      </c>
      <c r="C77" s="14" t="str">
        <f>IF('ر-فرعي'!E106&gt;0,'ر-فرعي'!E106,"")</f>
        <v>ايرادات شعبة النقل</v>
      </c>
      <c r="D77" s="12">
        <f>IF('ر-فرعي'!F106&gt;0,'ر-فرعي'!F106,"")</f>
        <v>5000</v>
      </c>
      <c r="E77" s="177">
        <f>IF('ر-فرعي'!G106&gt;0,'ر-فرعي'!G106,"")</f>
        <v>2560</v>
      </c>
      <c r="F77" s="167">
        <f t="shared" si="3"/>
        <v>0.51200000000000001</v>
      </c>
      <c r="G77" s="168">
        <f t="shared" si="4"/>
        <v>7.1660508341731043E-5</v>
      </c>
    </row>
    <row r="78" spans="2:7" x14ac:dyDescent="0.2">
      <c r="B78" s="13">
        <f>IF('ر-فرعي'!D107&gt;0,'ر-فرعي'!D107,"")</f>
        <v>11001004</v>
      </c>
      <c r="C78" s="14" t="str">
        <f>IF('ر-فرعي'!E107&gt;0,'ر-فرعي'!E107,"")</f>
        <v>ايرادات اثمان نسخ عطاءات</v>
      </c>
      <c r="D78" s="12">
        <f>IF('ر-فرعي'!F107&gt;0,'ر-فرعي'!F107,"")</f>
        <v>5000</v>
      </c>
      <c r="E78" s="177">
        <f>IF('ر-فرعي'!G107&gt;0,'ر-فرعي'!G107,"")</f>
        <v>3905</v>
      </c>
      <c r="F78" s="167">
        <f t="shared" si="3"/>
        <v>0.78100000000000003</v>
      </c>
      <c r="G78" s="168">
        <f t="shared" si="4"/>
        <v>1.0931026760721084E-4</v>
      </c>
    </row>
    <row r="79" spans="2:7" x14ac:dyDescent="0.2">
      <c r="B79" s="13">
        <f>IF('ر-فرعي'!D108&gt;0,'ر-فرعي'!D108,"")</f>
        <v>11001010</v>
      </c>
      <c r="C79" s="46" t="str">
        <f>IF('ر-فرعي'!E108&gt;0,'ر-فرعي'!E108,"")</f>
        <v>إيرادات بدل اشتراكات التأمين الصحي للعاملين</v>
      </c>
      <c r="D79" s="12">
        <f>IF('ر-فرعي'!F108&gt;0,'ر-فرعي'!F108,"")</f>
        <v>160000</v>
      </c>
      <c r="E79" s="177">
        <f>IF('ر-فرعي'!G108&gt;0,'ر-فرعي'!G108,"")</f>
        <v>151582.386</v>
      </c>
      <c r="F79" s="167">
        <f t="shared" si="3"/>
        <v>0.94738991250000004</v>
      </c>
      <c r="G79" s="168">
        <f t="shared" si="4"/>
        <v>4.2431526704736315E-3</v>
      </c>
    </row>
    <row r="80" spans="2:7" x14ac:dyDescent="0.2">
      <c r="B80" s="13">
        <f>IF('ر-فرعي'!D109&gt;0,'ر-فرعي'!D109,"")</f>
        <v>11001011</v>
      </c>
      <c r="C80" s="14" t="str">
        <f>IF('ر-فرعي'!E109&gt;0,'ر-فرعي'!E109,"")</f>
        <v>ايرادات واشتراك اصدارات الجامعة</v>
      </c>
      <c r="D80" s="12">
        <f>IF('ر-فرعي'!F109&gt;0,'ر-فرعي'!F109,"")</f>
        <v>4000</v>
      </c>
      <c r="E80" s="177">
        <f>IF('ر-فرعي'!G109&gt;0,'ر-فرعي'!G109,"")</f>
        <v>2811</v>
      </c>
      <c r="F80" s="167">
        <f t="shared" si="3"/>
        <v>0.70274999999999999</v>
      </c>
      <c r="G80" s="168">
        <f t="shared" si="4"/>
        <v>7.8686597245549212E-5</v>
      </c>
    </row>
    <row r="81" spans="2:7" x14ac:dyDescent="0.2">
      <c r="B81" s="13">
        <f>IF('ر-فرعي'!D110&gt;0,'ر-فرعي'!D110,"")</f>
        <v>11001013</v>
      </c>
      <c r="C81" s="14" t="str">
        <f>IF('ر-فرعي'!E110&gt;0,'ر-فرعي'!E110,"")</f>
        <v>ايرادات اخرى متنوعه</v>
      </c>
      <c r="D81" s="12">
        <f>IF('ر-فرعي'!F110&gt;0,'ر-فرعي'!F110,"")</f>
        <v>10000</v>
      </c>
      <c r="E81" s="177">
        <f>IF('ر-فرعي'!G110&gt;0,'ر-فرعي'!G110,"")</f>
        <v>63400.743999999999</v>
      </c>
      <c r="F81" s="167">
        <f t="shared" si="3"/>
        <v>6.3400743999999998</v>
      </c>
      <c r="G81" s="168">
        <f t="shared" si="4"/>
        <v>1.7747381032359197E-3</v>
      </c>
    </row>
    <row r="82" spans="2:7" x14ac:dyDescent="0.2">
      <c r="B82" s="13">
        <f>IF('ر-فرعي'!D111&gt;0,'ر-فرعي'!D111,"")</f>
        <v>11001015</v>
      </c>
      <c r="C82" s="14" t="str">
        <f>IF('ر-فرعي'!E111&gt;0,'ر-فرعي'!E111,"")</f>
        <v>ايرادات الهاتف</v>
      </c>
      <c r="D82" s="12">
        <f>IF('ر-فرعي'!F111&gt;0,'ر-فرعي'!F111,"")</f>
        <v>2000</v>
      </c>
      <c r="E82" s="177">
        <f>IF('ر-فرعي'!G111&gt;0,'ر-فرعي'!G111,"")</f>
        <v>229.136</v>
      </c>
      <c r="F82" s="167">
        <f t="shared" si="3"/>
        <v>0.114568</v>
      </c>
      <c r="G82" s="168">
        <f t="shared" si="4"/>
        <v>6.414063374762065E-6</v>
      </c>
    </row>
    <row r="83" spans="2:7" x14ac:dyDescent="0.2">
      <c r="B83" s="13">
        <f>IF('ر-فرعي'!D112&gt;0,'ر-فرعي'!D112,"")</f>
        <v>11001017</v>
      </c>
      <c r="C83" s="14" t="str">
        <f>IF('ر-فرعي'!E112&gt;0,'ر-فرعي'!E112,"")</f>
        <v>ايرادات عمادة شؤون الطلبة</v>
      </c>
      <c r="D83" s="12">
        <f>IF('ر-فرعي'!F112&gt;0,'ر-فرعي'!F112,"")</f>
        <v>2000</v>
      </c>
      <c r="E83" s="177" t="str">
        <f>IF('ر-فرعي'!G112&gt;0,'ر-فرعي'!G112,"")</f>
        <v/>
      </c>
      <c r="F83" s="167" t="str">
        <f t="shared" si="3"/>
        <v/>
      </c>
      <c r="G83" s="168" t="str">
        <f t="shared" si="4"/>
        <v/>
      </c>
    </row>
    <row r="84" spans="2:7" x14ac:dyDescent="0.2">
      <c r="B84" s="13">
        <f>IF('ر-فرعي'!D113&gt;0,'ر-فرعي'!D113,"")</f>
        <v>11001022</v>
      </c>
      <c r="C84" s="14" t="str">
        <f>IF('ر-فرعي'!E113&gt;0,'ر-فرعي'!E113,"")</f>
        <v>ايرادات سنوات سابقة</v>
      </c>
      <c r="D84" s="12">
        <f>IF('ر-فرعي'!F113&gt;0,'ر-فرعي'!F113,"")</f>
        <v>150000</v>
      </c>
      <c r="E84" s="177">
        <f>IF('ر-فرعي'!G113&gt;0,'ر-فرعي'!G113,"")</f>
        <v>48598.891000000003</v>
      </c>
      <c r="F84" s="167">
        <f t="shared" si="3"/>
        <v>0.32399260666666668</v>
      </c>
      <c r="G84" s="168">
        <f t="shared" si="4"/>
        <v>1.3603989194938978E-3</v>
      </c>
    </row>
    <row r="85" spans="2:7" x14ac:dyDescent="0.2">
      <c r="B85" s="13">
        <f>IF('ر-فرعي'!D114&gt;0,'ر-فرعي'!D114,"")</f>
        <v>11001023</v>
      </c>
      <c r="C85" s="14" t="str">
        <f>IF('ر-فرعي'!E114&gt;0,'ر-فرعي'!E114,"")</f>
        <v>ايرادات مبيعات منتجات الجامعة</v>
      </c>
      <c r="D85" s="12">
        <f>IF('ر-فرعي'!F114&gt;0,'ر-فرعي'!F114,"")</f>
        <v>10000</v>
      </c>
      <c r="E85" s="177">
        <f>IF('ر-فرعي'!G114&gt;0,'ر-فرعي'!G114,"")</f>
        <v>5223.2</v>
      </c>
      <c r="F85" s="167">
        <f t="shared" si="3"/>
        <v>0.52232000000000001</v>
      </c>
      <c r="G85" s="168">
        <f t="shared" si="4"/>
        <v>1.4620983092598813E-4</v>
      </c>
    </row>
    <row r="86" spans="2:7" x14ac:dyDescent="0.2">
      <c r="B86" s="13">
        <f>IF('ر-فرعي'!D115&gt;0,'ر-فرعي'!D115,"")</f>
        <v>11001025</v>
      </c>
      <c r="C86" s="14" t="str">
        <f>IF('ر-فرعي'!E115&gt;0,'ر-فرعي'!E115,"")</f>
        <v>ايرادات الروب الجامعي</v>
      </c>
      <c r="D86" s="12">
        <f>IF('ر-فرعي'!F115&gt;0,'ر-فرعي'!F115,"")</f>
        <v>10000</v>
      </c>
      <c r="E86" s="177">
        <f>IF('ر-فرعي'!G115&gt;0,'ر-فرعي'!G115,"")</f>
        <v>330</v>
      </c>
      <c r="F86" s="167">
        <f t="shared" si="3"/>
        <v>3.3000000000000002E-2</v>
      </c>
      <c r="G86" s="168">
        <f t="shared" si="4"/>
        <v>9.2374874034262687E-6</v>
      </c>
    </row>
    <row r="87" spans="2:7" x14ac:dyDescent="0.2">
      <c r="B87" s="13">
        <f>IF('ر-فرعي'!D116&gt;0,'ر-فرعي'!D116,"")</f>
        <v>11001030</v>
      </c>
      <c r="C87" s="14" t="str">
        <f>IF('ر-فرعي'!E116&gt;0,'ر-فرعي'!E116,"")</f>
        <v>ايرادات بدل غرامات مختلفة ومتنوعة</v>
      </c>
      <c r="D87" s="12">
        <f>IF('ر-فرعي'!F116&gt;0,'ر-فرعي'!F116,"")</f>
        <v>25000</v>
      </c>
      <c r="E87" s="177">
        <f>IF('ر-فرعي'!G116&gt;0,'ر-فرعي'!G116,"")</f>
        <v>2146.4969999999998</v>
      </c>
      <c r="F87" s="167">
        <f t="shared" si="3"/>
        <v>8.585988E-2</v>
      </c>
      <c r="G87" s="168">
        <f t="shared" si="4"/>
        <v>6.0085572724219007E-5</v>
      </c>
    </row>
    <row r="88" spans="2:7" x14ac:dyDescent="0.2">
      <c r="B88" s="13">
        <f>IF('ر-فرعي'!D117&gt;0,'ر-فرعي'!D117,"")</f>
        <v>11001033</v>
      </c>
      <c r="C88" s="14" t="str">
        <f>IF('ر-فرعي'!E117&gt;0,'ر-فرعي'!E117,"")</f>
        <v>ايرادات تحليل عينات /المختبرات المركزية</v>
      </c>
      <c r="D88" s="12">
        <f>IF('ر-فرعي'!F117&gt;0,'ر-فرعي'!F117,"")</f>
        <v>25000</v>
      </c>
      <c r="E88" s="177">
        <f>IF('ر-فرعي'!G117&gt;0,'ر-فرعي'!G117,"")</f>
        <v>38027.428999999996</v>
      </c>
      <c r="F88" s="167">
        <f t="shared" si="3"/>
        <v>1.5210971599999998</v>
      </c>
      <c r="G88" s="168">
        <f t="shared" si="4"/>
        <v>1.0644784738551114E-3</v>
      </c>
    </row>
    <row r="89" spans="2:7" x14ac:dyDescent="0.2">
      <c r="B89" s="13">
        <f>IF('ر-فرعي'!D118&gt;0,'ر-فرعي'!D118,"")</f>
        <v>11001034</v>
      </c>
      <c r="C89" s="14" t="str">
        <f>IF('ر-فرعي'!E118&gt;0,'ر-فرعي'!E118,"")</f>
        <v>ايرادات المشاغل</v>
      </c>
      <c r="D89" s="12">
        <f>IF('ر-فرعي'!F118&gt;0,'ر-فرعي'!F118,"")</f>
        <v>650</v>
      </c>
      <c r="E89" s="177">
        <f>IF('ر-فرعي'!G118&gt;0,'ر-فرعي'!G118,"")</f>
        <v>120</v>
      </c>
      <c r="F89" s="167">
        <f t="shared" si="3"/>
        <v>0.18461538461538463</v>
      </c>
      <c r="G89" s="168">
        <f t="shared" si="4"/>
        <v>3.3590863285186431E-6</v>
      </c>
    </row>
    <row r="90" spans="2:7" x14ac:dyDescent="0.2">
      <c r="B90" s="13">
        <f>IF('ر-فرعي'!D119&gt;0,'ر-فرعي'!D119,"")</f>
        <v>11001035</v>
      </c>
      <c r="C90" s="14" t="str">
        <f>IF('ر-فرعي'!E119&gt;0,'ر-فرعي'!E119,"")</f>
        <v>ايرادات الكهرباء</v>
      </c>
      <c r="D90" s="12">
        <f>IF('ر-فرعي'!F119&gt;0,'ر-فرعي'!F119,"")</f>
        <v>20000</v>
      </c>
      <c r="E90" s="177">
        <f>IF('ر-فرعي'!G119&gt;0,'ر-فرعي'!G119,"")</f>
        <v>7121.7120000000004</v>
      </c>
      <c r="F90" s="167">
        <f t="shared" si="3"/>
        <v>0.3560856</v>
      </c>
      <c r="G90" s="168">
        <f t="shared" si="4"/>
        <v>1.9935371179039302E-4</v>
      </c>
    </row>
    <row r="91" spans="2:7" x14ac:dyDescent="0.2">
      <c r="B91" s="13">
        <f>IF('ر-فرعي'!D120&gt;0,'ر-فرعي'!D120,"")</f>
        <v>11001036</v>
      </c>
      <c r="C91" s="14" t="str">
        <f>IF('ر-فرعي'!E120&gt;0,'ر-فرعي'!E120,"")</f>
        <v>ايرادات الماء</v>
      </c>
      <c r="D91" s="12">
        <f>IF('ر-فرعي'!F120&gt;0,'ر-فرعي'!F120,"")</f>
        <v>2500</v>
      </c>
      <c r="E91" s="177">
        <f>IF('ر-فرعي'!G120&gt;0,'ر-فرعي'!G120,"")</f>
        <v>1822.45</v>
      </c>
      <c r="F91" s="167">
        <f t="shared" si="3"/>
        <v>0.72898000000000007</v>
      </c>
      <c r="G91" s="168">
        <f t="shared" si="4"/>
        <v>5.1014723995073342E-5</v>
      </c>
    </row>
    <row r="92" spans="2:7" s="37" customFormat="1" x14ac:dyDescent="0.2">
      <c r="B92" s="13">
        <f>IF('ر-فرعي'!D121&gt;0,'ر-فرعي'!D121,"")</f>
        <v>11001038</v>
      </c>
      <c r="C92" s="14" t="str">
        <f>IF('ر-فرعي'!E121&gt;0,'ر-فرعي'!E121,"")</f>
        <v>ايرادات الاذاعة</v>
      </c>
      <c r="D92" s="12">
        <f>IF('ر-فرعي'!F121&gt;0,'ر-فرعي'!F121,"")</f>
        <v>10000</v>
      </c>
      <c r="E92" s="177" t="str">
        <f>IF('ر-فرعي'!G121&gt;0,'ر-فرعي'!G121,"")</f>
        <v/>
      </c>
      <c r="F92" s="167" t="str">
        <f t="shared" si="3"/>
        <v/>
      </c>
      <c r="G92" s="168" t="str">
        <f t="shared" si="4"/>
        <v/>
      </c>
    </row>
    <row r="93" spans="2:7" s="37" customFormat="1" x14ac:dyDescent="0.2">
      <c r="B93" s="95">
        <f>IF('ر-فرعي'!D122&gt;0,'ر-فرعي'!D122,"")</f>
        <v>11001039</v>
      </c>
      <c r="C93" s="136" t="str">
        <f>IF('ر-فرعي'!E122&gt;0,'ر-فرعي'!E122,"")</f>
        <v>ايرادات النشر في المجلات العلمية</v>
      </c>
      <c r="D93" s="96">
        <f>IF('ر-فرعي'!F122&gt;0,'ر-فرعي'!F122,"")</f>
        <v>5000</v>
      </c>
      <c r="E93" s="177" t="str">
        <f>IF('ر-فرعي'!G122&gt;0,'ر-فرعي'!G122,"")</f>
        <v/>
      </c>
      <c r="F93" s="167" t="str">
        <f t="shared" si="3"/>
        <v/>
      </c>
      <c r="G93" s="168" t="str">
        <f t="shared" si="4"/>
        <v/>
      </c>
    </row>
    <row r="94" spans="2:7" s="37" customFormat="1" x14ac:dyDescent="0.2">
      <c r="B94" s="95">
        <f>IF('ر-فرعي'!D123&gt;0,'ر-فرعي'!D123,"")</f>
        <v>11001040</v>
      </c>
      <c r="C94" s="136" t="str">
        <f>IF('ر-فرعي'!E123&gt;0,'ر-فرعي'!E123,"")</f>
        <v>ايرادات غرامات المجلات العلمية</v>
      </c>
      <c r="D94" s="96">
        <f>IF('ر-فرعي'!F123&gt;0,'ر-فرعي'!F123,"")</f>
        <v>5000</v>
      </c>
      <c r="E94" s="177" t="str">
        <f>IF('ر-فرعي'!G123&gt;0,'ر-فرعي'!G123,"")</f>
        <v/>
      </c>
      <c r="F94" s="167" t="str">
        <f t="shared" si="3"/>
        <v/>
      </c>
      <c r="G94" s="168" t="str">
        <f t="shared" si="4"/>
        <v/>
      </c>
    </row>
    <row r="95" spans="2:7" s="37" customFormat="1" x14ac:dyDescent="0.2">
      <c r="B95" s="95">
        <f>IF('ر-فرعي'!D124&gt;0,'ر-فرعي'!D124,"")</f>
        <v>11001041</v>
      </c>
      <c r="C95" s="136" t="str">
        <f>IF('ر-فرعي'!E124&gt;0,'ر-فرعي'!E124,"")</f>
        <v>بدل رواتب موظفي صندوق الاستثمار وملحقاتها (نهاية الخدمة، الإدخار)</v>
      </c>
      <c r="D95" s="96">
        <f>IF('ر-فرعي'!F124&gt;0,'ر-فرعي'!F124,"")</f>
        <v>90000</v>
      </c>
      <c r="E95" s="177">
        <f>IF('ر-فرعي'!G124&gt;0,'ر-فرعي'!G124,"")</f>
        <v>82666</v>
      </c>
      <c r="F95" s="167">
        <f t="shared" si="3"/>
        <v>0.91851111111111106</v>
      </c>
      <c r="G95" s="168">
        <f t="shared" si="4"/>
        <v>2.3140185869443513E-3</v>
      </c>
    </row>
    <row r="96" spans="2:7" x14ac:dyDescent="0.2">
      <c r="B96" s="13">
        <f>IF('ر-فرعي'!D127&gt;0,'ر-فرعي'!D127,"")</f>
        <v>11002001</v>
      </c>
      <c r="C96" s="14" t="str">
        <f>IF('ر-فرعي'!E127&gt;0,'ر-فرعي'!E127,"")</f>
        <v>ايرادات مركز اللغات</v>
      </c>
      <c r="D96" s="12">
        <f>IF('ر-فرعي'!F127&gt;0,'ر-فرعي'!F127,"")</f>
        <v>150000</v>
      </c>
      <c r="E96" s="177">
        <f>IF('ر-فرعي'!G127&gt;0,'ر-فرعي'!G127,"")</f>
        <v>113910</v>
      </c>
      <c r="F96" s="167">
        <f t="shared" si="3"/>
        <v>0.75939999999999996</v>
      </c>
      <c r="G96" s="168">
        <f t="shared" si="4"/>
        <v>3.1886126973463217E-3</v>
      </c>
    </row>
    <row r="97" spans="2:7" x14ac:dyDescent="0.2">
      <c r="B97" s="13">
        <f>IF('ر-فرعي'!D130&gt;0,'ر-فرعي'!D130,"")</f>
        <v>11003004</v>
      </c>
      <c r="C97" s="14" t="str">
        <f>IF('ر-فرعي'!E130&gt;0,'ر-فرعي'!E130,"")</f>
        <v>ايرادات مركز الاستشارات والخدمات الفنية وتنمية</v>
      </c>
      <c r="D97" s="12">
        <f>IF('ر-فرعي'!F130&gt;0,'ر-فرعي'!F130,"")</f>
        <v>50000</v>
      </c>
      <c r="E97" s="177">
        <f>IF('ر-فرعي'!G130&gt;0,'ر-فرعي'!G130,"")</f>
        <v>28031.5</v>
      </c>
      <c r="F97" s="167">
        <f t="shared" si="3"/>
        <v>0.56062999999999996</v>
      </c>
      <c r="G97" s="168">
        <f t="shared" si="4"/>
        <v>7.8466857014891948E-4</v>
      </c>
    </row>
    <row r="98" spans="2:7" x14ac:dyDescent="0.2">
      <c r="B98" s="13">
        <f>IF('ر-فرعي'!D133&gt;0,'ر-فرعي'!D133,"")</f>
        <v>11007001</v>
      </c>
      <c r="C98" s="14" t="str">
        <f>IF('ر-فرعي'!E133&gt;0,'ر-فرعي'!E133,"")</f>
        <v>وحدة الدراسات العمانية</v>
      </c>
      <c r="D98" s="12">
        <f>IF('ر-فرعي'!F133&gt;0,'ر-فرعي'!F133,"")</f>
        <v>100000</v>
      </c>
      <c r="E98" s="177">
        <f>IF('ر-فرعي'!G133&gt;0,'ر-فرعي'!G133,"")</f>
        <v>100000</v>
      </c>
      <c r="F98" s="167">
        <f t="shared" si="3"/>
        <v>1</v>
      </c>
      <c r="G98" s="168">
        <f t="shared" si="4"/>
        <v>2.7992386070988689E-3</v>
      </c>
    </row>
    <row r="99" spans="2:7" x14ac:dyDescent="0.2">
      <c r="B99" s="319" t="str">
        <f>'ر-فرعي'!B135:E135</f>
        <v>مجموع الفصل الثاني: إيرادات متنوعة ومراكز علمية وسنين سابقة</v>
      </c>
      <c r="C99" s="319"/>
      <c r="D99" s="57">
        <f>SUM(D77:D98)</f>
        <v>841150</v>
      </c>
      <c r="E99" s="57">
        <f>SUM(E77:E98)</f>
        <v>652485.94500000007</v>
      </c>
      <c r="F99" s="167">
        <f t="shared" si="3"/>
        <v>0.77570700231825485</v>
      </c>
      <c r="G99" s="168">
        <f t="shared" si="4"/>
        <v>1.8264638478333897E-2</v>
      </c>
    </row>
    <row r="100" spans="2:7" x14ac:dyDescent="0.2">
      <c r="B100" s="330" t="str">
        <f>'ر-فرعي'!B136:E136</f>
        <v>مجموع الباب الثالث: الإيرادات الذاتية الأخرى</v>
      </c>
      <c r="C100" s="330"/>
      <c r="D100" s="52">
        <f>D75+D99</f>
        <v>1501450</v>
      </c>
      <c r="E100" s="52">
        <f t="shared" ref="E100" si="5">E75+E99</f>
        <v>919547.61700000009</v>
      </c>
      <c r="F100" s="167">
        <f t="shared" si="3"/>
        <v>0.61243971960438248</v>
      </c>
      <c r="G100" s="168">
        <f t="shared" si="4"/>
        <v>2.5740331905721645E-2</v>
      </c>
    </row>
    <row r="101" spans="2:7" x14ac:dyDescent="0.2">
      <c r="B101" s="313" t="str">
        <f>'ر-فرعي'!B137:G137</f>
        <v>الباب الرابع: التبرعات والمنح والهبات</v>
      </c>
      <c r="C101" s="313"/>
      <c r="D101" s="313"/>
      <c r="E101" s="313"/>
      <c r="F101" s="313"/>
      <c r="G101" s="313"/>
    </row>
    <row r="102" spans="2:7" x14ac:dyDescent="0.2">
      <c r="B102" s="334" t="str">
        <f>'ر-فرعي'!B138:G138</f>
        <v>الفصل الأول: التبرعات والمنح والهبات</v>
      </c>
      <c r="C102" s="334"/>
      <c r="D102" s="334"/>
      <c r="E102" s="334"/>
      <c r="F102" s="334"/>
      <c r="G102" s="334"/>
    </row>
    <row r="103" spans="2:7" x14ac:dyDescent="0.2">
      <c r="B103" s="13">
        <f>IF('ر-فرعي'!D140&gt;0,'ر-فرعي'!D140,"")</f>
        <v>12201001</v>
      </c>
      <c r="C103" s="14" t="str">
        <f>IF('ر-فرعي'!E140&gt;0,'ر-فرعي'!E140,"")</f>
        <v>التبرعات والمنح والهبات</v>
      </c>
      <c r="D103" s="12">
        <f>IF('ر-فرعي'!F140&gt;0,'ر-فرعي'!F140,"")</f>
        <v>50000</v>
      </c>
      <c r="E103" s="177">
        <f>IF('ر-فرعي'!G140&gt;0,'ر-فرعي'!G140,"")</f>
        <v>3000</v>
      </c>
      <c r="F103" s="167">
        <f t="shared" si="3"/>
        <v>0.06</v>
      </c>
      <c r="G103" s="168">
        <f t="shared" si="4"/>
        <v>8.397715821296607E-5</v>
      </c>
    </row>
    <row r="104" spans="2:7" x14ac:dyDescent="0.2">
      <c r="B104" s="13">
        <f>IF('ر-فرعي'!D141&gt;0,'ر-فرعي'!D141,"")</f>
        <v>12201003</v>
      </c>
      <c r="C104" s="14" t="str">
        <f>IF('ر-فرعي'!E141&gt;0,'ر-فرعي'!E141,"")</f>
        <v>مساهمة وزارة التعليم العالي في المجلات العلمية</v>
      </c>
      <c r="D104" s="12">
        <f>IF('ر-فرعي'!F141&gt;0,'ر-فرعي'!F141,"")</f>
        <v>25000</v>
      </c>
      <c r="E104" s="177">
        <f>IF('ر-فرعي'!G141&gt;0,'ر-فرعي'!G141,"")</f>
        <v>24000</v>
      </c>
      <c r="F104" s="167">
        <f t="shared" si="3"/>
        <v>0.96</v>
      </c>
      <c r="G104" s="168">
        <f t="shared" si="4"/>
        <v>6.7181726570372856E-4</v>
      </c>
    </row>
    <row r="105" spans="2:7" x14ac:dyDescent="0.2">
      <c r="B105" s="319" t="str">
        <f>'ر-فرعي'!B143:E143</f>
        <v>مجموع الفصل الأول: التبرعات والمنح والهبات</v>
      </c>
      <c r="C105" s="319"/>
      <c r="D105" s="57">
        <f>SUM(D103:D104)</f>
        <v>75000</v>
      </c>
      <c r="E105" s="57">
        <f>SUM(E103:E104)</f>
        <v>27000</v>
      </c>
      <c r="F105" s="167">
        <f t="shared" si="3"/>
        <v>0.36</v>
      </c>
      <c r="G105" s="168">
        <f t="shared" si="4"/>
        <v>7.5579442391669467E-4</v>
      </c>
    </row>
    <row r="106" spans="2:7" x14ac:dyDescent="0.2">
      <c r="B106" s="330" t="str">
        <f>'ر-فرعي'!B144:E144</f>
        <v>مجموع الباب الرابع: التبرعات والمنح والهبات</v>
      </c>
      <c r="C106" s="330"/>
      <c r="D106" s="52">
        <f>D105</f>
        <v>75000</v>
      </c>
      <c r="E106" s="52">
        <f>E105</f>
        <v>27000</v>
      </c>
      <c r="F106" s="167">
        <f t="shared" si="3"/>
        <v>0.36</v>
      </c>
      <c r="G106" s="168">
        <f t="shared" si="4"/>
        <v>7.5579442391669467E-4</v>
      </c>
    </row>
    <row r="107" spans="2:7" x14ac:dyDescent="0.2">
      <c r="B107" s="329" t="s">
        <v>530</v>
      </c>
      <c r="C107" s="329"/>
      <c r="D107" s="81">
        <f>D51+D100+D56+D106</f>
        <v>30410000</v>
      </c>
      <c r="E107" s="81">
        <f>E51+E100+E56+E106</f>
        <v>27569086.878999997</v>
      </c>
      <c r="F107" s="167">
        <f t="shared" si="3"/>
        <v>0.90657964087471221</v>
      </c>
      <c r="G107" s="168">
        <f t="shared" si="4"/>
        <v>0.7717245235415966</v>
      </c>
    </row>
    <row r="108" spans="2:7" x14ac:dyDescent="0.2">
      <c r="B108" s="312" t="s">
        <v>208</v>
      </c>
      <c r="C108" s="312"/>
      <c r="D108" s="312"/>
      <c r="E108" s="312"/>
      <c r="F108" s="312"/>
      <c r="G108" s="312"/>
    </row>
    <row r="109" spans="2:7" x14ac:dyDescent="0.2">
      <c r="B109" s="23">
        <f>IF('ر-فرعي'!D148&gt;0,'ر-فرعي'!D148,"")</f>
        <v>18101001</v>
      </c>
      <c r="C109" s="4" t="str">
        <f>IF('ر-فرعي'!E148&gt;0,'ر-فرعي'!E148,"")</f>
        <v>العجز</v>
      </c>
      <c r="D109" s="96">
        <f>'ر-فرعي'!F148</f>
        <v>5314000</v>
      </c>
      <c r="E109" s="68">
        <f>'ر-فرعي'!G148</f>
        <v>107525.73000000417</v>
      </c>
      <c r="F109" s="167">
        <f t="shared" si="3"/>
        <v>2.0234424162590171E-2</v>
      </c>
      <c r="G109" s="168">
        <f t="shared" si="4"/>
        <v>3.0099017467250075E-3</v>
      </c>
    </row>
    <row r="110" spans="2:7" x14ac:dyDescent="0.2">
      <c r="B110" s="333" t="str">
        <f>'ر-فرعي'!B149:E149</f>
        <v>المجموع العام للعجز المقدر بالموازنة</v>
      </c>
      <c r="C110" s="333"/>
      <c r="D110" s="68">
        <f>SUM(D109:D109)</f>
        <v>5314000</v>
      </c>
      <c r="E110" s="68">
        <f>SUM(E109:E109)</f>
        <v>107525.73000000417</v>
      </c>
      <c r="F110" s="167">
        <f t="shared" si="3"/>
        <v>2.0234424162590171E-2</v>
      </c>
      <c r="G110" s="168">
        <f t="shared" si="4"/>
        <v>3.0099017467250075E-3</v>
      </c>
    </row>
    <row r="111" spans="2:7" s="37" customFormat="1" x14ac:dyDescent="0.2">
      <c r="B111" s="318" t="s">
        <v>524</v>
      </c>
      <c r="C111" s="318"/>
      <c r="D111" s="100">
        <f>D107+D110</f>
        <v>35724000</v>
      </c>
      <c r="E111" s="100">
        <f>E107+E110</f>
        <v>27676612.609000001</v>
      </c>
      <c r="F111" s="167">
        <f t="shared" si="3"/>
        <v>0.77473442528832159</v>
      </c>
      <c r="G111" s="168">
        <f t="shared" si="4"/>
        <v>0.77473442528832159</v>
      </c>
    </row>
    <row r="112" spans="2:7" s="37" customFormat="1" x14ac:dyDescent="0.2">
      <c r="B112" s="308"/>
      <c r="C112" s="308"/>
      <c r="D112" s="308"/>
      <c r="E112" s="308"/>
      <c r="F112" s="205"/>
      <c r="G112" s="205"/>
    </row>
    <row r="113" spans="1:7" s="37" customFormat="1" x14ac:dyDescent="0.2">
      <c r="B113" s="315" t="s">
        <v>516</v>
      </c>
      <c r="C113" s="315"/>
      <c r="D113" s="328">
        <v>2020</v>
      </c>
      <c r="E113" s="328"/>
      <c r="F113" s="328"/>
      <c r="G113" s="328"/>
    </row>
    <row r="114" spans="1:7" s="37" customFormat="1" x14ac:dyDescent="0.2">
      <c r="B114" s="313" t="str">
        <f>'ر-فرعي'!B154:G154</f>
        <v>الباب الأول: المصادر (مصادر التمويل)</v>
      </c>
      <c r="C114" s="313"/>
      <c r="D114" s="313"/>
      <c r="E114" s="313"/>
      <c r="F114" s="313"/>
      <c r="G114" s="313"/>
    </row>
    <row r="115" spans="1:7" s="37" customFormat="1" x14ac:dyDescent="0.2">
      <c r="B115" s="334" t="str">
        <f>'ر-فرعي'!B155:G155</f>
        <v>قروض وتسهيلات بنكية وسلفة وزارة المالية وعجز موازنة التمويل</v>
      </c>
      <c r="C115" s="334"/>
      <c r="D115" s="334"/>
      <c r="E115" s="334"/>
      <c r="F115" s="334"/>
      <c r="G115" s="334"/>
    </row>
    <row r="116" spans="1:7" s="37" customFormat="1" x14ac:dyDescent="0.2">
      <c r="B116" s="13">
        <f>IF('ر-فرعي'!D158&gt;0,'ر-فرعي'!D158,"")</f>
        <v>17202001</v>
      </c>
      <c r="C116" s="14" t="str">
        <f>IF('ر-فرعي'!E158&gt;0,'ر-فرعي'!E158,"")</f>
        <v>تسهيلات بنكية/جاري مدين</v>
      </c>
      <c r="D116" s="96">
        <f>IF('ر-فرعي'!F158&gt;0,'ر-فرعي'!F158,"")</f>
        <v>7000000</v>
      </c>
      <c r="E116" s="177">
        <f>IF('ر-فرعي'!G158&gt;0,'ر-فرعي'!G158,"")</f>
        <v>7000000</v>
      </c>
      <c r="F116" s="167">
        <f>IFERROR(E116/D116,"")</f>
        <v>1</v>
      </c>
      <c r="G116" s="168">
        <f>IFERROR(E116/$D$120,"")</f>
        <v>0.30316154179298399</v>
      </c>
    </row>
    <row r="117" spans="1:7" s="37" customFormat="1" x14ac:dyDescent="0.2">
      <c r="B117" s="13">
        <f>IF('ر-فرعي'!D159&gt;0,'ر-فرعي'!D159,"")</f>
        <v>17202002</v>
      </c>
      <c r="C117" s="14" t="str">
        <f>IF('ر-فرعي'!E159&gt;0,'ر-فرعي'!E159,"")</f>
        <v>قرض  بنك القاهرة عمان/ سلفة البنك المركزي للجامعات الحكومية</v>
      </c>
      <c r="D117" s="96">
        <f>IF('ر-فرعي'!F159&gt;0,'ر-فرعي'!F159,"")</f>
        <v>2000000</v>
      </c>
      <c r="E117" s="177">
        <f>IF('ر-فرعي'!G159&gt;0,'ر-فرعي'!G159,"")</f>
        <v>1999946</v>
      </c>
      <c r="F117" s="167">
        <f t="shared" ref="F117:F120" si="6">IFERROR(E117/D117,"")</f>
        <v>0.999973</v>
      </c>
      <c r="G117" s="168">
        <f t="shared" ref="G117:G120" si="7">IFERROR(E117/$D$120,"")</f>
        <v>8.6615244694673021E-2</v>
      </c>
    </row>
    <row r="118" spans="1:7" s="37" customFormat="1" x14ac:dyDescent="0.2">
      <c r="B118" s="13">
        <f>IF('ر-فرعي'!D160&gt;0,'ر-فرعي'!D160,"")</f>
        <v>18201001</v>
      </c>
      <c r="C118" s="14" t="str">
        <f>IF('ر-فرعي'!E160&gt;0,'ر-فرعي'!E160,"")</f>
        <v>عجز موازنة التمويل</v>
      </c>
      <c r="D118" s="96">
        <f>IF('ر-فرعي'!F160&gt;0,'ر-فرعي'!F160,"")</f>
        <v>14090000</v>
      </c>
      <c r="E118" s="177">
        <f>IF('ر-فرعي'!G160&gt;0,'ر-فرعي'!G160,"")</f>
        <v>6483061.6050000042</v>
      </c>
      <c r="F118" s="167">
        <f t="shared" si="6"/>
        <v>0.4601179279630947</v>
      </c>
      <c r="G118" s="168">
        <f t="shared" si="7"/>
        <v>0.28077356453009977</v>
      </c>
    </row>
    <row r="119" spans="1:7" s="37" customFormat="1" x14ac:dyDescent="0.2">
      <c r="B119" s="319" t="str">
        <f>'ر-فرعي'!B161:E161</f>
        <v>المجموع العام لعجز موازنة التمويل</v>
      </c>
      <c r="C119" s="319"/>
      <c r="D119" s="57">
        <f>SUM(D116:D118)</f>
        <v>23090000</v>
      </c>
      <c r="E119" s="57">
        <f>SUM(E116:E118)</f>
        <v>15483007.605000004</v>
      </c>
      <c r="F119" s="167">
        <f t="shared" si="6"/>
        <v>0.67055035101775684</v>
      </c>
      <c r="G119" s="168">
        <f t="shared" si="7"/>
        <v>0.67055035101775684</v>
      </c>
    </row>
    <row r="120" spans="1:7" s="37" customFormat="1" x14ac:dyDescent="0.2">
      <c r="B120" s="337" t="s">
        <v>525</v>
      </c>
      <c r="C120" s="337"/>
      <c r="D120" s="101">
        <f>SUM(D119)</f>
        <v>23090000</v>
      </c>
      <c r="E120" s="101">
        <f t="shared" ref="E120" si="8">SUM(E119)</f>
        <v>15483007.605000004</v>
      </c>
      <c r="F120" s="167">
        <f t="shared" si="6"/>
        <v>0.67055035101775684</v>
      </c>
      <c r="G120" s="168">
        <f t="shared" si="7"/>
        <v>0.67055035101775684</v>
      </c>
    </row>
    <row r="121" spans="1:7" s="37" customFormat="1" x14ac:dyDescent="0.2">
      <c r="B121" s="308"/>
      <c r="C121" s="308"/>
      <c r="D121" s="308"/>
      <c r="E121" s="308"/>
      <c r="F121" s="205"/>
      <c r="G121" s="205"/>
    </row>
    <row r="122" spans="1:7" x14ac:dyDescent="0.2">
      <c r="B122" s="315" t="s">
        <v>528</v>
      </c>
      <c r="C122" s="315"/>
      <c r="D122" s="328">
        <v>2020</v>
      </c>
      <c r="E122" s="328"/>
      <c r="F122" s="328"/>
      <c r="G122" s="328"/>
    </row>
    <row r="123" spans="1:7" x14ac:dyDescent="0.2">
      <c r="B123" s="313" t="str">
        <f>'ر-فرعي'!B165:G165</f>
        <v>الباب الأول: إيرادات الحسابات النظامية</v>
      </c>
      <c r="C123" s="313"/>
      <c r="D123" s="313"/>
      <c r="E123" s="313"/>
      <c r="F123" s="313"/>
      <c r="G123" s="313"/>
    </row>
    <row r="124" spans="1:7" x14ac:dyDescent="0.2">
      <c r="B124" s="334" t="str">
        <f>'ر-فرعي'!B166:G166</f>
        <v>الفصل الأول: إيرادات مشاريع وأجهزة وتجهيزات مشروطة بالتمويل</v>
      </c>
      <c r="C124" s="334"/>
      <c r="D124" s="334"/>
      <c r="E124" s="334"/>
      <c r="F124" s="334"/>
      <c r="G124" s="334"/>
    </row>
    <row r="125" spans="1:7" x14ac:dyDescent="0.2">
      <c r="A125" s="1"/>
      <c r="B125" s="95">
        <f>IF('ر-فرعي'!D168&gt;0,'ر-فرعي'!D168,"")</f>
        <v>19301002</v>
      </c>
      <c r="C125" s="14" t="str">
        <f>IF('ر-فرعي'!E168&gt;0,'ر-فرعي'!E168,"")</f>
        <v>مشروع بناء كلية الهندسة/ مشروطة بالتمويل</v>
      </c>
      <c r="D125" s="96">
        <f>IF('ر-فرعي'!F168&gt;0,'ر-فرعي'!F168,"")</f>
        <v>500000</v>
      </c>
      <c r="E125" s="177" t="str">
        <f>IF('ر-فرعي'!G168&gt;0,'ر-فرعي'!G168,"")</f>
        <v/>
      </c>
      <c r="F125" s="167" t="str">
        <f>IFERROR(E125/D125,"")</f>
        <v/>
      </c>
      <c r="G125" s="168" t="str">
        <f>IFERROR(E125/$D$141,"")</f>
        <v/>
      </c>
    </row>
    <row r="126" spans="1:7" s="37" customFormat="1" x14ac:dyDescent="0.2">
      <c r="A126" s="1"/>
      <c r="B126" s="95">
        <f>IF('ر-فرعي'!D169&gt;0,'ر-فرعي'!D169,"")</f>
        <v>19301006</v>
      </c>
      <c r="C126" s="43" t="str">
        <f>IF('ر-فرعي'!E169&gt;0,'ر-فرعي'!E169,"")</f>
        <v>مشروع بناء ملحق كلية التمريض/ المرحلة الثانية/ مشروطة بالتمويل</v>
      </c>
      <c r="D126" s="96">
        <f>IF('ر-فرعي'!F169&gt;0,'ر-فرعي'!F169,"")</f>
        <v>1500000</v>
      </c>
      <c r="E126" s="177" t="str">
        <f>IF('ر-فرعي'!G169&gt;0,'ر-فرعي'!G169,"")</f>
        <v/>
      </c>
      <c r="F126" s="167" t="str">
        <f t="shared" ref="F126:F141" si="9">IFERROR(E126/D126,"")</f>
        <v/>
      </c>
      <c r="G126" s="168" t="str">
        <f t="shared" ref="G126:G141" si="10">IFERROR(E126/$D$141,"")</f>
        <v/>
      </c>
    </row>
    <row r="127" spans="1:7" x14ac:dyDescent="0.2">
      <c r="A127" s="1"/>
      <c r="B127" s="95">
        <f>IF('ر-فرعي'!D170&gt;0,'ر-فرعي'!D170,"")</f>
        <v>19301010</v>
      </c>
      <c r="C127" s="14" t="str">
        <f>IF('ر-فرعي'!E170&gt;0,'ر-فرعي'!E170,"")</f>
        <v>مشروع بناء كلية ادارة المال والاعمال/ مشروطة بالتمويل</v>
      </c>
      <c r="D127" s="96">
        <f>IF('ر-فرعي'!F170&gt;0,'ر-فرعي'!F170,"")</f>
        <v>400000</v>
      </c>
      <c r="E127" s="177">
        <f>IF('ر-فرعي'!G170&gt;0,'ر-فرعي'!G170,"")</f>
        <v>297425</v>
      </c>
      <c r="F127" s="167">
        <f t="shared" si="9"/>
        <v>0.74356250000000002</v>
      </c>
      <c r="G127" s="168">
        <f t="shared" si="10"/>
        <v>3.4991176470588234E-2</v>
      </c>
    </row>
    <row r="128" spans="1:7" x14ac:dyDescent="0.2">
      <c r="A128" s="1"/>
      <c r="B128" s="95">
        <f>IF('ر-فرعي'!D171&gt;0,'ر-فرعي'!D171,"")</f>
        <v>19301021</v>
      </c>
      <c r="C128" s="14" t="str">
        <f>IF('ر-فرعي'!E171&gt;0,'ر-فرعي'!E171,"")</f>
        <v>مشروع انشاء كلية طب/ مشروطة بالتمويل</v>
      </c>
      <c r="D128" s="96">
        <f>IF('ر-فرعي'!F171&gt;0,'ر-فرعي'!F171,"")</f>
        <v>1000000</v>
      </c>
      <c r="E128" s="177" t="str">
        <f>IF('ر-فرعي'!G171&gt;0,'ر-فرعي'!G171,"")</f>
        <v/>
      </c>
      <c r="F128" s="167" t="str">
        <f t="shared" si="9"/>
        <v/>
      </c>
      <c r="G128" s="168" t="str">
        <f t="shared" si="10"/>
        <v/>
      </c>
    </row>
    <row r="129" spans="1:7" s="37" customFormat="1" x14ac:dyDescent="0.2">
      <c r="A129" s="1"/>
      <c r="B129" s="95">
        <f>IF('ر-فرعي'!D172&gt;0,'ر-فرعي'!D172,"")</f>
        <v>19301023</v>
      </c>
      <c r="C129" s="14" t="str">
        <f>IF('ر-فرعي'!E172&gt;0,'ر-فرعي'!E172,"")</f>
        <v>مبنى مركز الحاسوب/ مشروطة بالتمويل</v>
      </c>
      <c r="D129" s="96">
        <f>IF('ر-فرعي'!F172&gt;0,'ر-فرعي'!F172,"")</f>
        <v>75000</v>
      </c>
      <c r="E129" s="177" t="str">
        <f>IF('ر-فرعي'!G172&gt;0,'ر-فرعي'!G172,"")</f>
        <v/>
      </c>
      <c r="F129" s="167" t="str">
        <f t="shared" si="9"/>
        <v/>
      </c>
      <c r="G129" s="168" t="str">
        <f t="shared" si="10"/>
        <v/>
      </c>
    </row>
    <row r="130" spans="1:7" s="37" customFormat="1" x14ac:dyDescent="0.2">
      <c r="A130" s="1"/>
      <c r="B130" s="95">
        <f>IF('ر-فرعي'!D173&gt;0,'ر-فرعي'!D173,"")</f>
        <v>19301026</v>
      </c>
      <c r="C130" s="14" t="str">
        <f>IF('ر-فرعي'!E173&gt;0,'ر-فرعي'!E173,"")</f>
        <v>مجمع القاعات التدريسية وقاعة المؤتمرات/ مشروطة بالتمويل</v>
      </c>
      <c r="D130" s="96">
        <f>IF('ر-فرعي'!F173&gt;0,'ر-فرعي'!F173,"")</f>
        <v>3000000</v>
      </c>
      <c r="E130" s="177" t="str">
        <f>IF('ر-فرعي'!G173&gt;0,'ر-فرعي'!G173,"")</f>
        <v/>
      </c>
      <c r="F130" s="167" t="str">
        <f t="shared" si="9"/>
        <v/>
      </c>
      <c r="G130" s="168" t="str">
        <f t="shared" si="10"/>
        <v/>
      </c>
    </row>
    <row r="131" spans="1:7" s="37" customFormat="1" x14ac:dyDescent="0.2">
      <c r="A131" s="1"/>
      <c r="B131" s="95">
        <f>IF('ر-فرعي'!D174&gt;0,'ر-فرعي'!D174,"")</f>
        <v>19301027</v>
      </c>
      <c r="C131" s="14" t="str">
        <f>IF('ر-فرعي'!E174&gt;0,'ر-فرعي'!E174,"")</f>
        <v>جمنازيوم رياضي متعدد الأغراض (تربية بدنية)/ مشروطة بالتمويل</v>
      </c>
      <c r="D131" s="96">
        <f>IF('ر-فرعي'!F174&gt;0,'ر-فرعي'!F174,"")</f>
        <v>180000</v>
      </c>
      <c r="E131" s="177" t="str">
        <f>IF('ر-فرعي'!G174&gt;0,'ر-فرعي'!G174,"")</f>
        <v/>
      </c>
      <c r="F131" s="167" t="str">
        <f t="shared" si="9"/>
        <v/>
      </c>
      <c r="G131" s="168" t="str">
        <f t="shared" si="10"/>
        <v/>
      </c>
    </row>
    <row r="132" spans="1:7" x14ac:dyDescent="0.2">
      <c r="A132" s="1"/>
      <c r="B132" s="95">
        <f>IF('ر-فرعي'!D177&gt;0,'ر-فرعي'!D177,"")</f>
        <v>19302001</v>
      </c>
      <c r="C132" s="14" t="str">
        <f>IF('ر-فرعي'!E177&gt;0,'ر-فرعي'!E177,"")</f>
        <v>أجهزة حاسوب وملحقاتها/ مشروطة بالتمويل</v>
      </c>
      <c r="D132" s="96">
        <f>IF('ر-فرعي'!F177&gt;0,'ر-فرعي'!F177,"")</f>
        <v>100000</v>
      </c>
      <c r="E132" s="177" t="str">
        <f>IF('ر-فرعي'!G177&gt;0,'ر-فرعي'!G177,"")</f>
        <v/>
      </c>
      <c r="F132" s="167" t="str">
        <f t="shared" si="9"/>
        <v/>
      </c>
      <c r="G132" s="168" t="str">
        <f t="shared" si="10"/>
        <v/>
      </c>
    </row>
    <row r="133" spans="1:7" x14ac:dyDescent="0.2">
      <c r="A133" s="1"/>
      <c r="B133" s="95">
        <f>IF('ر-فرعي'!D178&gt;0,'ر-فرعي'!D178,"")</f>
        <v>19302002</v>
      </c>
      <c r="C133" s="14" t="str">
        <f>IF('ر-فرعي'!E178&gt;0,'ر-فرعي'!E178,"")</f>
        <v>أجهزة وتجهيزات خاصة بالمختبرات/ مشروطة بالتمويل</v>
      </c>
      <c r="D133" s="12">
        <f>IF('ر-فرعي'!F178&gt;0,'ر-فرعي'!F178,"")</f>
        <v>100000</v>
      </c>
      <c r="E133" s="177" t="str">
        <f>IF('ر-فرعي'!G178&gt;0,'ر-فرعي'!G178,"")</f>
        <v/>
      </c>
      <c r="F133" s="167" t="str">
        <f t="shared" si="9"/>
        <v/>
      </c>
      <c r="G133" s="168" t="str">
        <f t="shared" si="10"/>
        <v/>
      </c>
    </row>
    <row r="134" spans="1:7" x14ac:dyDescent="0.2">
      <c r="B134" s="13">
        <f>IF('ر-فرعي'!D179&gt;0,'ر-فرعي'!D179,"")</f>
        <v>19302003</v>
      </c>
      <c r="C134" s="14" t="str">
        <f>IF('ر-فرعي'!E179&gt;0,'ر-فرعي'!E179,"")</f>
        <v>أجهزة وتجهيزات متنوعة/ مشروطة بالتمويل</v>
      </c>
      <c r="D134" s="12">
        <f>IF('ر-فرعي'!F179&gt;0,'ر-فرعي'!F179,"")</f>
        <v>100000</v>
      </c>
      <c r="E134" s="177" t="str">
        <f>IF('ر-فرعي'!G179&gt;0,'ر-فرعي'!G179,"")</f>
        <v/>
      </c>
      <c r="F134" s="167" t="str">
        <f t="shared" si="9"/>
        <v/>
      </c>
      <c r="G134" s="168" t="str">
        <f t="shared" si="10"/>
        <v/>
      </c>
    </row>
    <row r="135" spans="1:7" x14ac:dyDescent="0.2">
      <c r="B135" s="13">
        <f>IF('ر-فرعي'!D180&gt;0,'ر-فرعي'!D180,"")</f>
        <v>19302004</v>
      </c>
      <c r="C135" s="14" t="str">
        <f>IF('ر-فرعي'!E180&gt;0,'ر-فرعي'!E180,"")</f>
        <v>تطوير وتأهيل البنية التحتية للشبكات المختلفة/ مشروطة بالتمويل</v>
      </c>
      <c r="D135" s="12">
        <f>IF('ر-فرعي'!F180&gt;0,'ر-فرعي'!F180,"")</f>
        <v>100000</v>
      </c>
      <c r="E135" s="177" t="str">
        <f>IF('ر-فرعي'!G180&gt;0,'ر-فرعي'!G180,"")</f>
        <v/>
      </c>
      <c r="F135" s="167" t="str">
        <f t="shared" si="9"/>
        <v/>
      </c>
      <c r="G135" s="168" t="str">
        <f t="shared" si="10"/>
        <v/>
      </c>
    </row>
    <row r="136" spans="1:7" s="37" customFormat="1" x14ac:dyDescent="0.2">
      <c r="B136" s="13">
        <f>IF('ر-فرعي'!D181&gt;0,'ر-فرعي'!D181,"")</f>
        <v>19302005</v>
      </c>
      <c r="C136" s="14" t="str">
        <f>IF('ر-فرعي'!E181&gt;0,'ر-فرعي'!E181,"")</f>
        <v>تأهيل مسابح الجامعة/ المسبح الأولمبي</v>
      </c>
      <c r="D136" s="12">
        <f>IF('ر-فرعي'!F181&gt;0,'ر-فرعي'!F181,"")</f>
        <v>100000</v>
      </c>
      <c r="E136" s="177">
        <f>IF('ر-فرعي'!G181&gt;0,'ر-فرعي'!G181,"")</f>
        <v>40304</v>
      </c>
      <c r="F136" s="167">
        <f t="shared" si="9"/>
        <v>0.40304000000000001</v>
      </c>
      <c r="G136" s="168">
        <f t="shared" si="10"/>
        <v>4.7416470588235293E-3</v>
      </c>
    </row>
    <row r="137" spans="1:7" s="37" customFormat="1" x14ac:dyDescent="0.2">
      <c r="B137" s="13">
        <f>IF('ر-فرعي'!D182&gt;0,'ر-فرعي'!D182,"")</f>
        <v>19302006</v>
      </c>
      <c r="C137" s="14" t="str">
        <f>IF('ر-فرعي'!E182&gt;0,'ر-فرعي'!E182,"")</f>
        <v>PADILEIA - Partnership for Digital Learning &amp; Increased Access</v>
      </c>
      <c r="D137" s="96">
        <f>IF('ر-فرعي'!F182&gt;0,'ر-فرعي'!F182,"")</f>
        <v>1000000</v>
      </c>
      <c r="E137" s="177" t="str">
        <f>IF('ر-فرعي'!G182&gt;0,'ر-فرعي'!G182,"")</f>
        <v/>
      </c>
      <c r="F137" s="167" t="str">
        <f t="shared" si="9"/>
        <v/>
      </c>
      <c r="G137" s="168" t="str">
        <f t="shared" si="10"/>
        <v/>
      </c>
    </row>
    <row r="138" spans="1:7" s="37" customFormat="1" x14ac:dyDescent="0.2">
      <c r="B138" s="13">
        <f>IF('ر-فرعي'!D183&gt;0,'ر-فرعي'!D183,"")</f>
        <v>19302007</v>
      </c>
      <c r="C138" s="136" t="str">
        <f>IF('ر-فرعي'!E183&gt;0,'ر-فرعي'!E183,"")</f>
        <v>مشروع الشبكة اللاسلكية</v>
      </c>
      <c r="D138" s="96">
        <f>IF('ر-فرعي'!F183&gt;0,'ر-فرعي'!F183,"")</f>
        <v>200000</v>
      </c>
      <c r="E138" s="177" t="str">
        <f>IF('ر-فرعي'!G183&gt;0,'ر-فرعي'!G183,"")</f>
        <v/>
      </c>
      <c r="F138" s="167" t="str">
        <f t="shared" si="9"/>
        <v/>
      </c>
      <c r="G138" s="168" t="str">
        <f t="shared" si="10"/>
        <v/>
      </c>
    </row>
    <row r="139" spans="1:7" s="37" customFormat="1" x14ac:dyDescent="0.2">
      <c r="B139" s="95">
        <f>IF('ر-فرعي'!D184&gt;0,'ر-فرعي'!D184,"")</f>
        <v>19302008</v>
      </c>
      <c r="C139" s="43" t="str">
        <f>IF('ر-فرعي'!E184&gt;0,'ر-فرعي'!E184,"")</f>
        <v xml:space="preserve">تطوير الموقع الالكتروني مركز الحاسوب /منحة تعليم عالي </v>
      </c>
      <c r="D139" s="96">
        <f>IF('ر-فرعي'!F184&gt;0,'ر-فرعي'!F184,"")</f>
        <v>75000</v>
      </c>
      <c r="E139" s="177" t="str">
        <f>IF('ر-فرعي'!G184&gt;0,'ر-فرعي'!G184,"")</f>
        <v/>
      </c>
      <c r="F139" s="167" t="str">
        <f t="shared" si="9"/>
        <v/>
      </c>
      <c r="G139" s="168" t="str">
        <f t="shared" si="10"/>
        <v/>
      </c>
    </row>
    <row r="140" spans="1:7" s="37" customFormat="1" x14ac:dyDescent="0.2">
      <c r="B140" s="95">
        <f>IF('ر-فرعي'!D185&gt;0,'ر-فرعي'!D185,"")</f>
        <v>19302009</v>
      </c>
      <c r="C140" s="43" t="str">
        <f>IF('ر-فرعي'!E185&gt;0,'ر-فرعي'!E185,"")</f>
        <v xml:space="preserve">مشروع المراسلات والأرشفة الالكترونية </v>
      </c>
      <c r="D140" s="96">
        <f>IF('ر-فرعي'!F185&gt;0,'ر-فرعي'!F185,"")</f>
        <v>70000</v>
      </c>
      <c r="E140" s="177" t="str">
        <f>IF('ر-فرعي'!G185&gt;0,'ر-فرعي'!G185,"")</f>
        <v/>
      </c>
      <c r="F140" s="167" t="str">
        <f t="shared" si="9"/>
        <v/>
      </c>
      <c r="G140" s="168" t="str">
        <f t="shared" si="10"/>
        <v/>
      </c>
    </row>
    <row r="141" spans="1:7" x14ac:dyDescent="0.2">
      <c r="B141" s="319" t="s">
        <v>536</v>
      </c>
      <c r="C141" s="319"/>
      <c r="D141" s="57">
        <f>SUM(D125:D140)</f>
        <v>8500000</v>
      </c>
      <c r="E141" s="57">
        <f>SUM(E125:E140)</f>
        <v>337729</v>
      </c>
      <c r="F141" s="167">
        <f t="shared" si="9"/>
        <v>3.9732823529411765E-2</v>
      </c>
      <c r="G141" s="168">
        <f t="shared" si="10"/>
        <v>3.9732823529411765E-2</v>
      </c>
    </row>
    <row r="142" spans="1:7" s="37" customFormat="1" x14ac:dyDescent="0.2">
      <c r="B142" s="338" t="s">
        <v>541</v>
      </c>
      <c r="C142" s="338"/>
      <c r="D142" s="338"/>
      <c r="E142" s="338"/>
      <c r="F142" s="338"/>
      <c r="G142" s="338"/>
    </row>
    <row r="143" spans="1:7" s="37" customFormat="1" x14ac:dyDescent="0.2">
      <c r="B143" s="95">
        <f>IF('ر-فرعي'!D190&gt;0,'ر-فرعي'!D190,"")</f>
        <v>19401001</v>
      </c>
      <c r="C143" s="43" t="str">
        <f>IF('ر-فرعي'!E190&gt;0,'ر-فرعي'!E190,"")</f>
        <v>إيرادات تدريس أبناء الشهداء والمصابين العسكريين/ بكا عادي</v>
      </c>
      <c r="D143" s="12">
        <f>IF('ر-فرعي'!F190&gt;0,'ر-فرعي'!F190,"")</f>
        <v>50000</v>
      </c>
      <c r="E143" s="177">
        <f>IF('ر-فرعي'!G190&gt;0,'ر-فرعي'!G190,"")</f>
        <v>32413</v>
      </c>
      <c r="F143" s="167">
        <f>IFERROR(E143/D143,"")</f>
        <v>0.64825999999999995</v>
      </c>
      <c r="G143" s="168">
        <f>IFERROR(E143/$D$152,"")</f>
        <v>2.1608666666666668E-2</v>
      </c>
    </row>
    <row r="144" spans="1:7" x14ac:dyDescent="0.2">
      <c r="B144" s="95">
        <f>IF('ر-فرعي'!D191&gt;0,'ر-فرعي'!D191,"")</f>
        <v>19401002</v>
      </c>
      <c r="C144" s="43" t="str">
        <f>IF('ر-فرعي'!E191&gt;0,'ر-فرعي'!E191,"")</f>
        <v>إيرادات تدريس أبناء العاملين في الجامعات الحكومية/ بكا عادي</v>
      </c>
      <c r="D144" s="12">
        <f>IF('ر-فرعي'!F191&gt;0,'ر-فرعي'!F191,"")</f>
        <v>100000</v>
      </c>
      <c r="E144" s="177">
        <f>IF('ر-فرعي'!G191&gt;0,'ر-فرعي'!G191,"")</f>
        <v>114407.4</v>
      </c>
      <c r="F144" s="167">
        <f t="shared" ref="F144:F152" si="11">IFERROR(E144/D144,"")</f>
        <v>1.144074</v>
      </c>
      <c r="G144" s="168">
        <f t="shared" ref="G144:G152" si="12">IFERROR(E144/$D$152,"")</f>
        <v>7.6271599999999995E-2</v>
      </c>
    </row>
    <row r="145" spans="2:7" x14ac:dyDescent="0.2">
      <c r="B145" s="95">
        <f>IF('ر-فرعي'!D192&gt;0,'ر-فرعي'!D192,"")</f>
        <v>19401003</v>
      </c>
      <c r="C145" s="43" t="str">
        <f>IF('ر-فرعي'!E192&gt;0,'ر-فرعي'!E192,"")</f>
        <v>إيرادات تدريس ذوي الاحتياجات الخاصة /بكا عادي</v>
      </c>
      <c r="D145" s="12">
        <f>IF('ر-فرعي'!F192&gt;0,'ر-فرعي'!F192,"")</f>
        <v>20000</v>
      </c>
      <c r="E145" s="177">
        <f>IF('ر-فرعي'!G192&gt;0,'ر-فرعي'!G192,"")</f>
        <v>15145.2</v>
      </c>
      <c r="F145" s="167">
        <f t="shared" si="11"/>
        <v>0.75726000000000004</v>
      </c>
      <c r="G145" s="168">
        <f t="shared" si="12"/>
        <v>1.0096800000000001E-2</v>
      </c>
    </row>
    <row r="146" spans="2:7" x14ac:dyDescent="0.2">
      <c r="B146" s="95">
        <f>IF('ر-فرعي'!D193&gt;0,'ر-فرعي'!D193,"")</f>
        <v>19401004</v>
      </c>
      <c r="C146" s="43" t="str">
        <f>IF('ر-فرعي'!E193&gt;0,'ر-فرعي'!E193,"")</f>
        <v>إيرادات تدريس طلاب الديوان الملكي /بكا عادي</v>
      </c>
      <c r="D146" s="12">
        <f>IF('ر-فرعي'!F193&gt;0,'ر-فرعي'!F193,"")</f>
        <v>100000</v>
      </c>
      <c r="E146" s="177">
        <f>IF('ر-فرعي'!G193&gt;0,'ر-فرعي'!G193,"")</f>
        <v>96174</v>
      </c>
      <c r="F146" s="167">
        <f t="shared" si="11"/>
        <v>0.96174000000000004</v>
      </c>
      <c r="G146" s="168">
        <f t="shared" si="12"/>
        <v>6.4116000000000006E-2</v>
      </c>
    </row>
    <row r="147" spans="2:7" x14ac:dyDescent="0.2">
      <c r="B147" s="95">
        <f>IF('ر-فرعي'!D194&gt;0,'ر-فرعي'!D194,"")</f>
        <v>19401005</v>
      </c>
      <c r="C147" s="43" t="str">
        <f>IF('ر-فرعي'!E194&gt;0,'ر-فرعي'!E194,"")</f>
        <v>إيرادات تدريس طلاب وزارة الصحة /بكا عادي</v>
      </c>
      <c r="D147" s="12">
        <f>IF('ر-فرعي'!F194&gt;0,'ر-فرعي'!F194,"")</f>
        <v>10000</v>
      </c>
      <c r="E147" s="177">
        <f>IF('ر-فرعي'!G194&gt;0,'ر-فرعي'!G194,"")</f>
        <v>3860</v>
      </c>
      <c r="F147" s="167">
        <f t="shared" si="11"/>
        <v>0.38600000000000001</v>
      </c>
      <c r="G147" s="168">
        <f t="shared" si="12"/>
        <v>2.5733333333333333E-3</v>
      </c>
    </row>
    <row r="148" spans="2:7" x14ac:dyDescent="0.2">
      <c r="B148" s="95">
        <f>IF('ر-فرعي'!D195&gt;0,'ر-فرعي'!D195,"")</f>
        <v>19402001</v>
      </c>
      <c r="C148" s="43" t="str">
        <f>IF('ر-فرعي'!E195&gt;0,'ر-فرعي'!E195,"")</f>
        <v>إيرادات تدريس أبناء الشهداء والمصابين العسكريين/ غير العادي</v>
      </c>
      <c r="D148" s="12">
        <f>IF('ر-فرعي'!F195&gt;0,'ر-فرعي'!F195,"")</f>
        <v>1160000</v>
      </c>
      <c r="E148" s="177">
        <f>IF('ر-فرعي'!G195&gt;0,'ر-فرعي'!G195,"")</f>
        <v>1841547</v>
      </c>
      <c r="F148" s="167">
        <f t="shared" si="11"/>
        <v>1.5875405172413792</v>
      </c>
      <c r="G148" s="168">
        <f t="shared" si="12"/>
        <v>1.227698</v>
      </c>
    </row>
    <row r="149" spans="2:7" x14ac:dyDescent="0.2">
      <c r="B149" s="95">
        <f>IF('ر-فرعي'!D196&gt;0,'ر-فرعي'!D196,"")</f>
        <v>19402002</v>
      </c>
      <c r="C149" s="43" t="str">
        <f>IF('ر-فرعي'!E196&gt;0,'ر-فرعي'!E196,"")</f>
        <v>إيرادات تدريس أبناء العاملين في الجامعات الحكومية/ غير عادي</v>
      </c>
      <c r="D149" s="12">
        <f>IF('ر-فرعي'!F196&gt;0,'ر-فرعي'!F196,"")</f>
        <v>20000</v>
      </c>
      <c r="E149" s="177">
        <f>IF('ر-فرعي'!G196&gt;0,'ر-فرعي'!G196,"")</f>
        <v>18172.5</v>
      </c>
      <c r="F149" s="167">
        <f t="shared" si="11"/>
        <v>0.90862500000000002</v>
      </c>
      <c r="G149" s="168">
        <f t="shared" si="12"/>
        <v>1.2115000000000001E-2</v>
      </c>
    </row>
    <row r="150" spans="2:7" x14ac:dyDescent="0.2">
      <c r="B150" s="95">
        <f>IF('ر-فرعي'!D197&gt;0,'ر-فرعي'!D197,"")</f>
        <v>19402003</v>
      </c>
      <c r="C150" s="43" t="str">
        <f>IF('ر-فرعي'!E197&gt;0,'ر-فرعي'!E197,"")</f>
        <v>إيرادات تدريس ذوي الاحتياجات الخاصة/ غير العادي</v>
      </c>
      <c r="D150" s="12">
        <f>IF('ر-فرعي'!F197&gt;0,'ر-فرعي'!F197,"")</f>
        <v>25000</v>
      </c>
      <c r="E150" s="177">
        <f>IF('ر-فرعي'!G197&gt;0,'ر-فرعي'!G197,"")</f>
        <v>31486.5</v>
      </c>
      <c r="F150" s="167">
        <f t="shared" si="11"/>
        <v>1.25946</v>
      </c>
      <c r="G150" s="168">
        <f t="shared" si="12"/>
        <v>2.0990999999999999E-2</v>
      </c>
    </row>
    <row r="151" spans="2:7" x14ac:dyDescent="0.2">
      <c r="B151" s="95">
        <f>IF('ر-فرعي'!D198&gt;0,'ر-فرعي'!D198,"")</f>
        <v>19402005</v>
      </c>
      <c r="C151" s="43" t="str">
        <f>IF('ر-فرعي'!E198&gt;0,'ر-فرعي'!E198,"")</f>
        <v>إيرادات تدريس طلاب وزارة الصحة/ غير العادي</v>
      </c>
      <c r="D151" s="12">
        <f>IF('ر-فرعي'!F198&gt;0,'ر-فرعي'!F198,"")</f>
        <v>15000</v>
      </c>
      <c r="E151" s="177">
        <f>IF('ر-فرعي'!G198&gt;0,'ر-فرعي'!G198,"")</f>
        <v>12780</v>
      </c>
      <c r="F151" s="167">
        <f t="shared" si="11"/>
        <v>0.85199999999999998</v>
      </c>
      <c r="G151" s="168">
        <f t="shared" si="12"/>
        <v>8.5199999999999998E-3</v>
      </c>
    </row>
    <row r="152" spans="2:7" s="37" customFormat="1" x14ac:dyDescent="0.2">
      <c r="B152" s="321" t="s">
        <v>540</v>
      </c>
      <c r="C152" s="321"/>
      <c r="D152" s="102">
        <f>SUM(D143:D151)</f>
        <v>1500000</v>
      </c>
      <c r="E152" s="102">
        <f t="shared" ref="E152" si="13">SUM(E143:E151)</f>
        <v>2165985.6</v>
      </c>
      <c r="F152" s="167">
        <f t="shared" si="11"/>
        <v>1.4439904000000001</v>
      </c>
      <c r="G152" s="168">
        <f t="shared" si="12"/>
        <v>1.4439904000000001</v>
      </c>
    </row>
    <row r="153" spans="2:7" x14ac:dyDescent="0.2">
      <c r="B153" s="336" t="s">
        <v>561</v>
      </c>
      <c r="C153" s="336"/>
      <c r="D153" s="182">
        <f>D141+D152</f>
        <v>10000000</v>
      </c>
      <c r="E153" s="182">
        <f t="shared" ref="E153" si="14">E141+E152</f>
        <v>2503714.6</v>
      </c>
      <c r="F153" s="167">
        <f>IFERROR(E153/D153,"")</f>
        <v>0.25037145999999999</v>
      </c>
      <c r="G153" s="168">
        <f>IFERROR(E153/$D$153,"")</f>
        <v>0.25037145999999999</v>
      </c>
    </row>
    <row r="155" spans="2:7" x14ac:dyDescent="0.2">
      <c r="D155" s="99">
        <f>D111+D120+D153</f>
        <v>68814000</v>
      </c>
      <c r="E155" s="99">
        <f>E111+E120+E153</f>
        <v>45663334.814000003</v>
      </c>
    </row>
    <row r="156" spans="2:7" x14ac:dyDescent="0.2">
      <c r="D156" s="99">
        <f>'ن-مواد'!D270-'ر-مواد'!D155</f>
        <v>0</v>
      </c>
      <c r="E156" s="99">
        <f>'ن-مواد'!F270-'ر-مواد'!E155</f>
        <v>0</v>
      </c>
    </row>
  </sheetData>
  <mergeCells count="42">
    <mergeCell ref="B153:C153"/>
    <mergeCell ref="B51:C51"/>
    <mergeCell ref="B106:C106"/>
    <mergeCell ref="B105:C105"/>
    <mergeCell ref="B55:C55"/>
    <mergeCell ref="B120:C120"/>
    <mergeCell ref="B111:C111"/>
    <mergeCell ref="B113:C113"/>
    <mergeCell ref="B122:C122"/>
    <mergeCell ref="B107:C107"/>
    <mergeCell ref="B119:C119"/>
    <mergeCell ref="B108:G108"/>
    <mergeCell ref="B102:G102"/>
    <mergeCell ref="B101:G101"/>
    <mergeCell ref="B142:G142"/>
    <mergeCell ref="D113:G113"/>
    <mergeCell ref="B53:G53"/>
    <mergeCell ref="B52:G52"/>
    <mergeCell ref="B5:G5"/>
    <mergeCell ref="B4:G4"/>
    <mergeCell ref="B152:C152"/>
    <mergeCell ref="D122:G122"/>
    <mergeCell ref="B124:G124"/>
    <mergeCell ref="B123:G123"/>
    <mergeCell ref="B115:G115"/>
    <mergeCell ref="B114:G114"/>
    <mergeCell ref="B1:G1"/>
    <mergeCell ref="B141:C141"/>
    <mergeCell ref="B110:C110"/>
    <mergeCell ref="B75:C75"/>
    <mergeCell ref="B112:E112"/>
    <mergeCell ref="C2:C3"/>
    <mergeCell ref="B121:E121"/>
    <mergeCell ref="B99:C99"/>
    <mergeCell ref="B100:C100"/>
    <mergeCell ref="D3:G3"/>
    <mergeCell ref="B2:B3"/>
    <mergeCell ref="B50:C50"/>
    <mergeCell ref="B56:C56"/>
    <mergeCell ref="B76:G76"/>
    <mergeCell ref="B58:G58"/>
    <mergeCell ref="B57:G57"/>
  </mergeCells>
  <conditionalFormatting sqref="B1 B2:C3 B152:E153 B142 B113:C113 B122:C122 B141:E141 B123:B124 B119:E121 B114:B115 B109:E112 B108 B105:E107 B101:B102 B99:E100 B76 B75:E75 B57:B58 B55:E56 B52:B53 B50:E51 B4:B5 B6:D49 B54:D54 B59:D74 B77:D98 B103:D104 B116:D118 B125:D140 B143:D151">
    <cfRule type="containsBlanks" dxfId="287" priority="18">
      <formula>LEN(TRIM(B1))=0</formula>
    </cfRule>
  </conditionalFormatting>
  <conditionalFormatting sqref="D3:G3 D2:E2 G2">
    <cfRule type="containsBlanks" dxfId="286" priority="17" stopIfTrue="1">
      <formula>LEN(TRIM(D2))=0</formula>
    </cfRule>
  </conditionalFormatting>
  <conditionalFormatting sqref="F7:F51 F109:F111 F103:F107 F77:F100 F59:F75 F54:F56">
    <cfRule type="containsBlanks" dxfId="285" priority="16" stopIfTrue="1">
      <formula>LEN(TRIM(F7))=0</formula>
    </cfRule>
  </conditionalFormatting>
  <conditionalFormatting sqref="F6:G6 G7:G51 G109:G111 G103:G107 G77:G100 G59:G75 G54:G56">
    <cfRule type="containsBlanks" dxfId="284" priority="15" stopIfTrue="1">
      <formula>LEN(TRIM(F6))=0</formula>
    </cfRule>
  </conditionalFormatting>
  <conditionalFormatting sqref="F2">
    <cfRule type="containsBlanks" dxfId="283" priority="14" stopIfTrue="1">
      <formula>LEN(TRIM(F2))=0</formula>
    </cfRule>
  </conditionalFormatting>
  <conditionalFormatting sqref="F116:G120">
    <cfRule type="containsBlanks" dxfId="282" priority="13" stopIfTrue="1">
      <formula>LEN(TRIM(F116))=0</formula>
    </cfRule>
  </conditionalFormatting>
  <conditionalFormatting sqref="F125:G141">
    <cfRule type="containsBlanks" dxfId="281" priority="12" stopIfTrue="1">
      <formula>LEN(TRIM(F125))=0</formula>
    </cfRule>
  </conditionalFormatting>
  <conditionalFormatting sqref="F143:G153">
    <cfRule type="containsBlanks" dxfId="280" priority="11" stopIfTrue="1">
      <formula>LEN(TRIM(F143))=0</formula>
    </cfRule>
  </conditionalFormatting>
  <conditionalFormatting sqref="E6:E49">
    <cfRule type="containsBlanks" dxfId="279" priority="10">
      <formula>LEN(TRIM(E6))=0</formula>
    </cfRule>
  </conditionalFormatting>
  <conditionalFormatting sqref="E54">
    <cfRule type="containsBlanks" dxfId="278" priority="9">
      <formula>LEN(TRIM(E54))=0</formula>
    </cfRule>
  </conditionalFormatting>
  <conditionalFormatting sqref="E59:E74">
    <cfRule type="containsBlanks" dxfId="277" priority="8">
      <formula>LEN(TRIM(E59))=0</formula>
    </cfRule>
  </conditionalFormatting>
  <conditionalFormatting sqref="E77:E98">
    <cfRule type="containsBlanks" dxfId="276" priority="7">
      <formula>LEN(TRIM(E77))=0</formula>
    </cfRule>
  </conditionalFormatting>
  <conditionalFormatting sqref="E103:E104">
    <cfRule type="containsBlanks" dxfId="275" priority="6">
      <formula>LEN(TRIM(E103))=0</formula>
    </cfRule>
  </conditionalFormatting>
  <conditionalFormatting sqref="E116:E118">
    <cfRule type="containsBlanks" dxfId="274" priority="5">
      <formula>LEN(TRIM(E116))=0</formula>
    </cfRule>
  </conditionalFormatting>
  <conditionalFormatting sqref="E125:E140">
    <cfRule type="containsBlanks" dxfId="273" priority="4">
      <formula>LEN(TRIM(E125))=0</formula>
    </cfRule>
  </conditionalFormatting>
  <conditionalFormatting sqref="E143:E151">
    <cfRule type="containsBlanks" dxfId="272" priority="3">
      <formula>LEN(TRIM(E143))=0</formula>
    </cfRule>
  </conditionalFormatting>
  <conditionalFormatting sqref="D113:G113">
    <cfRule type="containsBlanks" dxfId="271" priority="2" stopIfTrue="1">
      <formula>LEN(TRIM(D113))=0</formula>
    </cfRule>
  </conditionalFormatting>
  <conditionalFormatting sqref="D122:G122">
    <cfRule type="containsBlanks" dxfId="270" priority="1" stopIfTrue="1">
      <formula>LEN(TRIM(D122))=0</formula>
    </cfRule>
  </conditionalFormatting>
  <pageMargins left="0.47244094488188981" right="1.44" top="0.98425196850393704" bottom="0" header="0.19685039370078741" footer="0"/>
  <pageSetup paperSize="9" scale="63" orientation="portrait" r:id="rId1"/>
  <headerFooter>
    <oddFooter xml:space="preserve">&amp;C&amp;P+6
&amp;R
</oddFooter>
  </headerFooter>
  <rowBreaks count="1" manualBreakCount="1">
    <brk id="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FF"/>
  </sheetPr>
  <dimension ref="B1:I271"/>
  <sheetViews>
    <sheetView rightToLeft="1" view="pageBreakPreview" zoomScale="60" zoomScaleNormal="100" workbookViewId="0">
      <pane ySplit="3" topLeftCell="A31" activePane="bottomLeft" state="frozen"/>
      <selection activeCell="B16" sqref="B16:J18"/>
      <selection pane="bottomLeft" activeCell="I268" sqref="B1:I268"/>
    </sheetView>
  </sheetViews>
  <sheetFormatPr defaultRowHeight="14.25" x14ac:dyDescent="0.2"/>
  <cols>
    <col min="1" max="1" width="12.25" customWidth="1"/>
    <col min="2" max="2" width="9" style="44" bestFit="1" customWidth="1"/>
    <col min="3" max="3" width="48.875" style="2" customWidth="1"/>
    <col min="4" max="6" width="9.875" style="2" bestFit="1" customWidth="1"/>
    <col min="7" max="7" width="8.875" style="2" bestFit="1" customWidth="1"/>
    <col min="8" max="8" width="11.125" style="212" bestFit="1" customWidth="1"/>
    <col min="9" max="9" width="8.75" style="206" bestFit="1" customWidth="1"/>
  </cols>
  <sheetData>
    <row r="1" spans="2:9" s="86" customFormat="1" ht="12.75" x14ac:dyDescent="0.2">
      <c r="B1" s="315" t="s">
        <v>809</v>
      </c>
      <c r="C1" s="315"/>
      <c r="D1" s="315"/>
      <c r="E1" s="315"/>
      <c r="F1" s="315"/>
      <c r="G1" s="315"/>
      <c r="H1" s="315"/>
      <c r="I1" s="315"/>
    </row>
    <row r="2" spans="2:9" s="85" customFormat="1" ht="25.5" x14ac:dyDescent="0.2">
      <c r="B2" s="343" t="s">
        <v>328</v>
      </c>
      <c r="C2" s="308" t="s">
        <v>329</v>
      </c>
      <c r="D2" s="192" t="s">
        <v>520</v>
      </c>
      <c r="E2" s="192" t="s">
        <v>521</v>
      </c>
      <c r="F2" s="192" t="s">
        <v>522</v>
      </c>
      <c r="G2" s="191" t="s">
        <v>523</v>
      </c>
      <c r="H2" s="190" t="s">
        <v>815</v>
      </c>
      <c r="I2" s="190" t="s">
        <v>806</v>
      </c>
    </row>
    <row r="3" spans="2:9" s="85" customFormat="1" ht="12.75" x14ac:dyDescent="0.2">
      <c r="B3" s="343"/>
      <c r="C3" s="308"/>
      <c r="D3" s="328">
        <v>2020</v>
      </c>
      <c r="E3" s="328"/>
      <c r="F3" s="328"/>
      <c r="G3" s="328"/>
      <c r="H3" s="328"/>
      <c r="I3" s="328"/>
    </row>
    <row r="4" spans="2:9" x14ac:dyDescent="0.2">
      <c r="B4" s="309" t="str">
        <f>'ن-فرعي'!B4:I4</f>
        <v>الباب الأول: النفقات المتكررة</v>
      </c>
      <c r="C4" s="309"/>
      <c r="D4" s="309"/>
      <c r="E4" s="309"/>
      <c r="F4" s="309"/>
      <c r="G4" s="309"/>
      <c r="H4" s="309"/>
      <c r="I4" s="309"/>
    </row>
    <row r="5" spans="2:9" x14ac:dyDescent="0.2">
      <c r="B5" s="335" t="str">
        <f>'ن-فرعي'!B5:I5</f>
        <v>الفصل الأول: الرواتب والعلاوات والمكافآت</v>
      </c>
      <c r="C5" s="335"/>
      <c r="D5" s="335"/>
      <c r="E5" s="335"/>
      <c r="F5" s="335"/>
      <c r="G5" s="335"/>
      <c r="H5" s="335"/>
      <c r="I5" s="335"/>
    </row>
    <row r="6" spans="2:9" x14ac:dyDescent="0.2">
      <c r="B6" s="180">
        <f>IF('ن-فرعي'!D7&gt;0,'ن-فرعي'!D7,"")</f>
        <v>20101001</v>
      </c>
      <c r="C6" s="14" t="str">
        <f>IF('ن-فرعي'!E7&gt;0,'ن-فرعي'!E7,"")</f>
        <v>رواتب وعلاوات الهيئة التدريسية</v>
      </c>
      <c r="D6" s="12">
        <f>IF('ن-فرعي'!F7&gt;0,'ن-فرعي'!F7,"")</f>
        <v>7953000</v>
      </c>
      <c r="E6" s="12">
        <f>IF('ن-فرعي'!G7&gt;0,'ن-فرعي'!G7,"")</f>
        <v>7953000</v>
      </c>
      <c r="F6" s="177">
        <f>IF('ن-فرعي'!H7&gt;0,'ن-فرعي'!H7,"")</f>
        <v>7520494.6989999982</v>
      </c>
      <c r="G6" s="12" t="str">
        <f>IF('ن-فرعي'!I7&gt;0,'ن-فرعي'!I7,"")</f>
        <v/>
      </c>
      <c r="H6" s="167">
        <f>IFERROR(F6/E6,"")</f>
        <v>0.94561733924305269</v>
      </c>
      <c r="I6" s="168">
        <f>IFERROR(F6/$E$225,"")</f>
        <v>0.21051659105923184</v>
      </c>
    </row>
    <row r="7" spans="2:9" x14ac:dyDescent="0.2">
      <c r="B7" s="180">
        <f>IF('ن-فرعي'!D8&gt;0,'ن-فرعي'!D8,"")</f>
        <v>20101002</v>
      </c>
      <c r="C7" s="14" t="str">
        <f>IF('ن-فرعي'!E8&gt;0,'ن-فرعي'!E8,"")</f>
        <v>مكافآت هيئة التدريس للعمل الصيفي والاضافي</v>
      </c>
      <c r="D7" s="12">
        <f>IF('ن-فرعي'!F8&gt;0,'ن-فرعي'!F8,"")</f>
        <v>1400000</v>
      </c>
      <c r="E7" s="12">
        <f>IF('ن-فرعي'!G8&gt;0,'ن-فرعي'!G8,"")</f>
        <v>1400000</v>
      </c>
      <c r="F7" s="177">
        <f>IF('ن-فرعي'!H8&gt;0,'ن-فرعي'!H8,"")</f>
        <v>1161778.814</v>
      </c>
      <c r="G7" s="12" t="str">
        <f>IF('ن-فرعي'!I8&gt;0,'ن-فرعي'!I8,"")</f>
        <v/>
      </c>
      <c r="H7" s="167">
        <f t="shared" ref="H7:H70" si="0">IFERROR(F7/E7,"")</f>
        <v>0.82984201000000002</v>
      </c>
      <c r="I7" s="168">
        <f t="shared" ref="I7:I70" si="1">IFERROR(F7/$E$225,"")</f>
        <v>3.2520961090583361E-2</v>
      </c>
    </row>
    <row r="8" spans="2:9" x14ac:dyDescent="0.2">
      <c r="B8" s="180">
        <f>IF('ن-فرعي'!D9&gt;0,'ن-فرعي'!D9,"")</f>
        <v>20101003</v>
      </c>
      <c r="C8" s="14" t="str">
        <f>IF('ن-فرعي'!E9&gt;0,'ن-فرعي'!E9,"")</f>
        <v>مكافآت اساتذة دائمين ومؤقتين ومنتدبين</v>
      </c>
      <c r="D8" s="12">
        <f>IF('ن-فرعي'!F9&gt;0,'ن-فرعي'!F9,"")</f>
        <v>75000</v>
      </c>
      <c r="E8" s="12">
        <f>IF('ن-فرعي'!G9&gt;0,'ن-فرعي'!G9,"")</f>
        <v>75000</v>
      </c>
      <c r="F8" s="177">
        <f>IF('ن-فرعي'!H9&gt;0,'ن-فرعي'!H9,"")</f>
        <v>29265.023000000001</v>
      </c>
      <c r="G8" s="12" t="str">
        <f>IF('ن-فرعي'!I9&gt;0,'ن-فرعي'!I9,"")</f>
        <v/>
      </c>
      <c r="H8" s="167">
        <f t="shared" si="0"/>
        <v>0.39020030666666666</v>
      </c>
      <c r="I8" s="168">
        <f t="shared" si="1"/>
        <v>8.191978221923637E-4</v>
      </c>
    </row>
    <row r="9" spans="2:9" x14ac:dyDescent="0.2">
      <c r="B9" s="180">
        <f>IF('ن-فرعي'!D10&gt;0,'ن-فرعي'!D10,"")</f>
        <v>20101005</v>
      </c>
      <c r="C9" s="14" t="str">
        <f>IF('ن-فرعي'!E10&gt;0,'ن-فرعي'!E10,"")</f>
        <v>بدل سكن لاعضاء هيئة التدريس</v>
      </c>
      <c r="D9" s="12">
        <f>IF('ن-فرعي'!F10&gt;0,'ن-فرعي'!F10,"")</f>
        <v>3000</v>
      </c>
      <c r="E9" s="12">
        <f>IF('ن-فرعي'!G10&gt;0,'ن-فرعي'!G10,"")</f>
        <v>3000</v>
      </c>
      <c r="F9" s="177">
        <f>IF('ن-فرعي'!H10&gt;0,'ن-فرعي'!H10,"")</f>
        <v>3000</v>
      </c>
      <c r="G9" s="12" t="str">
        <f>IF('ن-فرعي'!I10&gt;0,'ن-فرعي'!I10,"")</f>
        <v/>
      </c>
      <c r="H9" s="167">
        <f t="shared" si="0"/>
        <v>1</v>
      </c>
      <c r="I9" s="168">
        <f t="shared" si="1"/>
        <v>8.397715821296607E-5</v>
      </c>
    </row>
    <row r="10" spans="2:9" x14ac:dyDescent="0.2">
      <c r="B10" s="180">
        <f>IF('ن-فرعي'!D11&gt;0,'ن-فرعي'!D11,"")</f>
        <v>20101007</v>
      </c>
      <c r="C10" s="14" t="str">
        <f>IF('ن-فرعي'!E11&gt;0,'ن-فرعي'!E11,"")</f>
        <v>مخصصات الشواغر والاحداثات لاعضاء الهيئة التدريسية</v>
      </c>
      <c r="D10" s="12">
        <f>IF('ن-فرعي'!F11&gt;0,'ن-فرعي'!F11,"")</f>
        <v>400000</v>
      </c>
      <c r="E10" s="12">
        <f>IF('ن-فرعي'!G11&gt;0,'ن-فرعي'!G11,"")</f>
        <v>352000</v>
      </c>
      <c r="F10" s="177">
        <f>IF('ن-فرعي'!H11&gt;0,'ن-فرعي'!H11,"")</f>
        <v>86093.55</v>
      </c>
      <c r="G10" s="12" t="str">
        <f>IF('ن-فرعي'!I11&gt;0,'ن-فرعي'!I11,"")</f>
        <v/>
      </c>
      <c r="H10" s="167">
        <f t="shared" si="0"/>
        <v>0.24458394886363638</v>
      </c>
      <c r="I10" s="168">
        <f t="shared" si="1"/>
        <v>2.4099638898219685E-3</v>
      </c>
    </row>
    <row r="11" spans="2:9" x14ac:dyDescent="0.2">
      <c r="B11" s="180">
        <f>IF('ن-فرعي'!D12&gt;0,'ن-فرعي'!D12,"")</f>
        <v>20101008</v>
      </c>
      <c r="C11" s="14" t="str">
        <f>IF('ن-فرعي'!E12&gt;0,'ن-فرعي'!E12,"")</f>
        <v>مكافات هيئة التدريس / البرنامج الدولي</v>
      </c>
      <c r="D11" s="12">
        <f>IF('ن-فرعي'!F12&gt;0,'ن-فرعي'!F12,"")</f>
        <v>150000</v>
      </c>
      <c r="E11" s="12">
        <f>IF('ن-فرعي'!G12&gt;0,'ن-فرعي'!G12,"")</f>
        <v>150000</v>
      </c>
      <c r="F11" s="177">
        <f>IF('ن-فرعي'!H12&gt;0,'ن-فرعي'!H12,"")</f>
        <v>84192.6</v>
      </c>
      <c r="G11" s="12" t="str">
        <f>IF('ن-فرعي'!I12&gt;0,'ن-فرعي'!I12,"")</f>
        <v/>
      </c>
      <c r="H11" s="167">
        <f t="shared" si="0"/>
        <v>0.56128400000000001</v>
      </c>
      <c r="I11" s="168">
        <f t="shared" si="1"/>
        <v>2.3567517635203227E-3</v>
      </c>
    </row>
    <row r="12" spans="2:9" s="37" customFormat="1" x14ac:dyDescent="0.2">
      <c r="B12" s="180">
        <f>IF('ن-فرعي'!D13&gt;0,'ن-فرعي'!D13,"")</f>
        <v>20101009</v>
      </c>
      <c r="C12" s="43" t="str">
        <f>IF('ن-فرعي'!E13&gt;0,'ن-فرعي'!E13,"")</f>
        <v>مكافات رئيس واعضاء مجلس الامناء</v>
      </c>
      <c r="D12" s="12">
        <f>IF('ن-فرعي'!F13&gt;0,'ن-فرعي'!F13,"")</f>
        <v>25000</v>
      </c>
      <c r="E12" s="12">
        <f>IF('ن-فرعي'!G13&gt;0,'ن-فرعي'!G13,"")</f>
        <v>25000</v>
      </c>
      <c r="F12" s="177">
        <f>IF('ن-فرعي'!H13&gt;0,'ن-فرعي'!H13,"")</f>
        <v>14085</v>
      </c>
      <c r="G12" s="12" t="str">
        <f>IF('ن-فرعي'!I13&gt;0,'ن-فرعي'!I13,"")</f>
        <v/>
      </c>
      <c r="H12" s="167">
        <f t="shared" si="0"/>
        <v>0.56340000000000001</v>
      </c>
      <c r="I12" s="168">
        <f t="shared" si="1"/>
        <v>3.9427275780987571E-4</v>
      </c>
    </row>
    <row r="13" spans="2:9" x14ac:dyDescent="0.2">
      <c r="B13" s="180">
        <f>IF('ن-فرعي'!D16&gt;0,'ن-فرعي'!D16,"")</f>
        <v>20103001</v>
      </c>
      <c r="C13" s="14" t="str">
        <f>IF('ن-فرعي'!E16&gt;0,'ن-فرعي'!E16,"")</f>
        <v>رواتب الهيئة الادارية</v>
      </c>
      <c r="D13" s="12">
        <f>IF('ن-فرعي'!F16&gt;0,'ن-فرعي'!F16,"")</f>
        <v>7139000</v>
      </c>
      <c r="E13" s="12">
        <f>IF('ن-فرعي'!G16&gt;0,'ن-فرعي'!G16,"")</f>
        <v>7179000</v>
      </c>
      <c r="F13" s="177">
        <f>IF('ن-فرعي'!H16&gt;0,'ن-فرعي'!H16,"")</f>
        <v>6638560.9100000011</v>
      </c>
      <c r="G13" s="12" t="str">
        <f>IF('ن-فرعي'!I16&gt;0,'ن-فرعي'!I16,"")</f>
        <v/>
      </c>
      <c r="H13" s="167">
        <f t="shared" si="0"/>
        <v>0.92471944699818931</v>
      </c>
      <c r="I13" s="168">
        <f t="shared" si="1"/>
        <v>0.18582915994849403</v>
      </c>
    </row>
    <row r="14" spans="2:9" x14ac:dyDescent="0.2">
      <c r="B14" s="180">
        <f>IF('ن-فرعي'!D17&gt;0,'ن-فرعي'!D17,"")</f>
        <v>20103002</v>
      </c>
      <c r="C14" s="14" t="str">
        <f>IF('ن-فرعي'!E17&gt;0,'ن-فرعي'!E17,"")</f>
        <v>المكافآت والعمل الاضافي للهيئة الادارية</v>
      </c>
      <c r="D14" s="12">
        <f>IF('ن-فرعي'!F17&gt;0,'ن-فرعي'!F17,"")</f>
        <v>60000</v>
      </c>
      <c r="E14" s="12">
        <f>IF('ن-فرعي'!G17&gt;0,'ن-فرعي'!G17,"")</f>
        <v>60000</v>
      </c>
      <c r="F14" s="177">
        <f>IF('ن-فرعي'!H17&gt;0,'ن-فرعي'!H17,"")</f>
        <v>36157.392</v>
      </c>
      <c r="G14" s="12" t="str">
        <f>IF('ن-فرعي'!I17&gt;0,'ن-فرعي'!I17,"")</f>
        <v/>
      </c>
      <c r="H14" s="167">
        <f t="shared" si="0"/>
        <v>0.60262320000000003</v>
      </c>
      <c r="I14" s="168">
        <f t="shared" si="1"/>
        <v>1.012131676184078E-3</v>
      </c>
    </row>
    <row r="15" spans="2:9" x14ac:dyDescent="0.2">
      <c r="B15" s="180">
        <f>IF('ن-فرعي'!D18&gt;0,'ن-فرعي'!D18,"")</f>
        <v>20103003</v>
      </c>
      <c r="C15" s="14" t="str">
        <f>IF('ن-فرعي'!E18&gt;0,'ن-فرعي'!E18,"")</f>
        <v>مكافآت الاداريين المنتدبين</v>
      </c>
      <c r="D15" s="12">
        <f>IF('ن-فرعي'!F18&gt;0,'ن-فرعي'!F18,"")</f>
        <v>70000</v>
      </c>
      <c r="E15" s="12">
        <f>IF('ن-فرعي'!G18&gt;0,'ن-فرعي'!G18,"")</f>
        <v>70000</v>
      </c>
      <c r="F15" s="177">
        <f>IF('ن-فرعي'!H18&gt;0,'ن-فرعي'!H18,"")</f>
        <v>34631.877999999997</v>
      </c>
      <c r="G15" s="12" t="str">
        <f>IF('ن-فرعي'!I18&gt;0,'ن-فرعي'!I18,"")</f>
        <v/>
      </c>
      <c r="H15" s="167">
        <f t="shared" si="0"/>
        <v>0.49474111428571427</v>
      </c>
      <c r="I15" s="168">
        <f t="shared" si="1"/>
        <v>9.6942889933937959E-4</v>
      </c>
    </row>
    <row r="16" spans="2:9" x14ac:dyDescent="0.2">
      <c r="B16" s="180">
        <f>IF('ن-فرعي'!D19&gt;0,'ن-فرعي'!D19,"")</f>
        <v>20103006</v>
      </c>
      <c r="C16" s="14" t="str">
        <f>IF('ن-فرعي'!E19&gt;0,'ن-فرعي'!E19,"")</f>
        <v>مخصصات الشواغر والاحداثات لاعضاء الهيئة الادارية</v>
      </c>
      <c r="D16" s="12">
        <f>IF('ن-فرعي'!F19&gt;0,'ن-فرعي'!F19,"")</f>
        <v>42606</v>
      </c>
      <c r="E16" s="12">
        <f>IF('ن-فرعي'!G19&gt;0,'ن-فرعي'!G19,"")</f>
        <v>40606</v>
      </c>
      <c r="F16" s="177">
        <f>IF('ن-فرعي'!H19&gt;0,'ن-فرعي'!H19,"")</f>
        <v>39923.173000000003</v>
      </c>
      <c r="G16" s="12" t="str">
        <f>IF('ن-فرعي'!I19&gt;0,'ن-فرعي'!I19,"")</f>
        <v/>
      </c>
      <c r="H16" s="167">
        <f t="shared" si="0"/>
        <v>0.983184086095651</v>
      </c>
      <c r="I16" s="168">
        <f t="shared" si="1"/>
        <v>1.1175448717948718E-3</v>
      </c>
    </row>
    <row r="17" spans="2:9" x14ac:dyDescent="0.2">
      <c r="B17" s="180">
        <f>IF('ن-فرعي'!D22&gt;0,'ن-فرعي'!D22,"")</f>
        <v>20116002</v>
      </c>
      <c r="C17" s="14" t="str">
        <f>IF('ن-فرعي'!E22&gt;0,'ن-فرعي'!E22,"")</f>
        <v>حوافز برنامج الموازي للهيئة التدريسية</v>
      </c>
      <c r="D17" s="12">
        <f>IF('ن-فرعي'!F22&gt;0,'ن-فرعي'!F22,"")</f>
        <v>2406265</v>
      </c>
      <c r="E17" s="12">
        <f>IF('ن-فرعي'!G22&gt;0,'ن-فرعي'!G22,"")</f>
        <v>2406265</v>
      </c>
      <c r="F17" s="177">
        <f>IF('ن-فرعي'!H22&gt;0,'ن-فرعي'!H22,"")</f>
        <v>2406265</v>
      </c>
      <c r="G17" s="12" t="str">
        <f>IF('ن-فرعي'!I22&gt;0,'ن-فرعي'!I22,"")</f>
        <v/>
      </c>
      <c r="H17" s="167">
        <f t="shared" si="0"/>
        <v>1</v>
      </c>
      <c r="I17" s="168">
        <f t="shared" si="1"/>
        <v>6.7357098869107609E-2</v>
      </c>
    </row>
    <row r="18" spans="2:9" x14ac:dyDescent="0.2">
      <c r="B18" s="180">
        <f>IF('ن-فرعي'!D23&gt;0,'ن-فرعي'!D23,"")</f>
        <v>20116003</v>
      </c>
      <c r="C18" s="14" t="str">
        <f>IF('ن-فرعي'!E23&gt;0,'ن-فرعي'!E23,"")</f>
        <v>حوافز برنامج الموازي للموظفين</v>
      </c>
      <c r="D18" s="12">
        <f>IF('ن-فرعي'!F23&gt;0,'ن-فرعي'!F23,"")</f>
        <v>1557474</v>
      </c>
      <c r="E18" s="12">
        <f>IF('ن-فرعي'!G23&gt;0,'ن-فرعي'!G23,"")</f>
        <v>1557474</v>
      </c>
      <c r="F18" s="177">
        <f>IF('ن-فرعي'!H23&gt;0,'ن-فرعي'!H23,"")</f>
        <v>1557474</v>
      </c>
      <c r="G18" s="12" t="str">
        <f>IF('ن-فرعي'!I23&gt;0,'ن-فرعي'!I23,"")</f>
        <v/>
      </c>
      <c r="H18" s="167">
        <f t="shared" si="0"/>
        <v>1</v>
      </c>
      <c r="I18" s="168">
        <f t="shared" si="1"/>
        <v>4.3597413503527041E-2</v>
      </c>
    </row>
    <row r="19" spans="2:9" x14ac:dyDescent="0.2">
      <c r="B19" s="180">
        <f>IF('ن-فرعي'!D24&gt;0,'ن-فرعي'!D24,"")</f>
        <v>20116005</v>
      </c>
      <c r="C19" s="14" t="str">
        <f>IF('ن-فرعي'!E24&gt;0,'ن-فرعي'!E24,"")</f>
        <v>احتياطي حوافز موازي هيئة تدريس</v>
      </c>
      <c r="D19" s="12">
        <f>IF('ن-فرعي'!F24&gt;0,'ن-فرعي'!F24,"")</f>
        <v>135358</v>
      </c>
      <c r="E19" s="12">
        <f>IF('ن-فرعي'!G24&gt;0,'ن-فرعي'!G24,"")</f>
        <v>135358</v>
      </c>
      <c r="F19" s="177">
        <f>IF('ن-فرعي'!H24&gt;0,'ن-فرعي'!H24,"")</f>
        <v>135358</v>
      </c>
      <c r="G19" s="12" t="str">
        <f>IF('ن-فرعي'!I24&gt;0,'ن-فرعي'!I24,"")</f>
        <v/>
      </c>
      <c r="H19" s="167">
        <f t="shared" si="0"/>
        <v>1</v>
      </c>
      <c r="I19" s="168">
        <f t="shared" si="1"/>
        <v>3.7889933937968871E-3</v>
      </c>
    </row>
    <row r="20" spans="2:9" x14ac:dyDescent="0.2">
      <c r="B20" s="180">
        <f>IF('ن-فرعي'!D25&gt;0,'ن-فرعي'!D25,"")</f>
        <v>20116006</v>
      </c>
      <c r="C20" s="14" t="str">
        <f>IF('ن-فرعي'!E25&gt;0,'ن-فرعي'!E25,"")</f>
        <v>احتياطي حوافز موازي للموظفين</v>
      </c>
      <c r="D20" s="12">
        <f>IF('ن-فرعي'!F25&gt;0,'ن-فرعي'!F25,"")</f>
        <v>27072</v>
      </c>
      <c r="E20" s="12">
        <f>IF('ن-فرعي'!G25&gt;0,'ن-فرعي'!G25,"")</f>
        <v>27072</v>
      </c>
      <c r="F20" s="177">
        <f>IF('ن-فرعي'!H25&gt;0,'ن-فرعي'!H25,"")</f>
        <v>27072</v>
      </c>
      <c r="G20" s="12" t="str">
        <f>IF('ن-فرعي'!I25&gt;0,'ن-فرعي'!I25,"")</f>
        <v/>
      </c>
      <c r="H20" s="167">
        <f t="shared" si="0"/>
        <v>1</v>
      </c>
      <c r="I20" s="168">
        <f t="shared" si="1"/>
        <v>7.5780987571380585E-4</v>
      </c>
    </row>
    <row r="21" spans="2:9" x14ac:dyDescent="0.2">
      <c r="B21" s="180">
        <f>IF('ن-فرعي'!D28&gt;0,'ن-فرعي'!D28,"")</f>
        <v>20117001</v>
      </c>
      <c r="C21" s="14" t="str">
        <f>IF('ن-فرعي'!E28&gt;0,'ن-فرعي'!E28,"")</f>
        <v>خدمات الامن والحراسة</v>
      </c>
      <c r="D21" s="12">
        <f>IF('ن-فرعي'!F28&gt;0,'ن-فرعي'!F28,"")</f>
        <v>500000</v>
      </c>
      <c r="E21" s="12">
        <f>IF('ن-فرعي'!G28&gt;0,'ن-فرعي'!G28,"")</f>
        <v>500000</v>
      </c>
      <c r="F21" s="177">
        <f>IF('ن-فرعي'!H28&gt;0,'ن-فرعي'!H28,"")</f>
        <v>434981.76</v>
      </c>
      <c r="G21" s="12">
        <f>IF('ن-فرعي'!I28&gt;0,'ن-فرعي'!I28,"")</f>
        <v>59397.04</v>
      </c>
      <c r="H21" s="167">
        <f t="shared" si="0"/>
        <v>0.86996351999999999</v>
      </c>
      <c r="I21" s="168">
        <f t="shared" si="1"/>
        <v>1.2176177359758147E-2</v>
      </c>
    </row>
    <row r="22" spans="2:9" x14ac:dyDescent="0.2">
      <c r="B22" s="180">
        <f>IF('ن-فرعي'!D29&gt;0,'ن-فرعي'!D29,"")</f>
        <v>20117002</v>
      </c>
      <c r="C22" s="14" t="str">
        <f>IF('ن-فرعي'!E29&gt;0,'ن-فرعي'!E29,"")</f>
        <v>بدل وجبات الطعام للعسكريين</v>
      </c>
      <c r="D22" s="12">
        <f>IF('ن-فرعي'!F29&gt;0,'ن-فرعي'!F29,"")</f>
        <v>10000</v>
      </c>
      <c r="E22" s="12">
        <f>IF('ن-فرعي'!G29&gt;0,'ن-فرعي'!G29,"")</f>
        <v>10000</v>
      </c>
      <c r="F22" s="177">
        <f>IF('ن-فرعي'!H29&gt;0,'ن-فرعي'!H29,"")</f>
        <v>4215</v>
      </c>
      <c r="G22" s="12" t="str">
        <f>IF('ن-فرعي'!I29&gt;0,'ن-فرعي'!I29,"")</f>
        <v/>
      </c>
      <c r="H22" s="167">
        <f t="shared" si="0"/>
        <v>0.42149999999999999</v>
      </c>
      <c r="I22" s="168">
        <f t="shared" si="1"/>
        <v>1.1798790728921733E-4</v>
      </c>
    </row>
    <row r="23" spans="2:9" x14ac:dyDescent="0.2">
      <c r="B23" s="180">
        <f>IF('ن-فرعي'!D30&gt;0,'ن-فرعي'!D30,"")</f>
        <v>20117003</v>
      </c>
      <c r="C23" s="14" t="str">
        <f>IF('ن-فرعي'!E30&gt;0,'ن-فرعي'!E30,"")</f>
        <v>استئجار عمال بالاجرة اليومية</v>
      </c>
      <c r="D23" s="12">
        <f>IF('ن-فرعي'!F30&gt;0,'ن-فرعي'!F30,"")</f>
        <v>160000</v>
      </c>
      <c r="E23" s="12">
        <f>IF('ن-فرعي'!G30&gt;0,'ن-فرعي'!G30,"")</f>
        <v>170000</v>
      </c>
      <c r="F23" s="177">
        <f>IF('ن-فرعي'!H30&gt;0,'ن-فرعي'!H30,"")</f>
        <v>115422.79</v>
      </c>
      <c r="G23" s="12" t="str">
        <f>IF('ن-فرعي'!I30&gt;0,'ن-فرعي'!I30,"")</f>
        <v/>
      </c>
      <c r="H23" s="167">
        <f t="shared" si="0"/>
        <v>0.67895758823529406</v>
      </c>
      <c r="I23" s="168">
        <f t="shared" si="1"/>
        <v>3.2309592990706526E-3</v>
      </c>
    </row>
    <row r="24" spans="2:9" x14ac:dyDescent="0.2">
      <c r="B24" s="341" t="str">
        <f>'ن-فرعي'!B32:E32</f>
        <v>مجموع الفصل الأول: الرواتب والعلاوات والمكافآت</v>
      </c>
      <c r="C24" s="341"/>
      <c r="D24" s="57">
        <f>SUM(D6:D23)</f>
        <v>22113775</v>
      </c>
      <c r="E24" s="57">
        <f>SUM(E6:E23)</f>
        <v>22113775</v>
      </c>
      <c r="F24" s="57">
        <f>SUM(F6:F23)</f>
        <v>20328971.589000005</v>
      </c>
      <c r="G24" s="57">
        <f t="shared" ref="G24" si="2">SUM(G6:G23)</f>
        <v>59397.04</v>
      </c>
      <c r="H24" s="167">
        <f t="shared" si="0"/>
        <v>0.91928997147705471</v>
      </c>
      <c r="I24" s="168">
        <f t="shared" si="1"/>
        <v>0.56905642114544863</v>
      </c>
    </row>
    <row r="25" spans="2:9" x14ac:dyDescent="0.2">
      <c r="B25" s="334" t="str">
        <f>'ن-فرعي'!B33:I33</f>
        <v>الفصل الثاني: التعويضات والتأمينات للعاملين</v>
      </c>
      <c r="C25" s="334"/>
      <c r="D25" s="334"/>
      <c r="E25" s="334"/>
      <c r="F25" s="334"/>
      <c r="G25" s="334"/>
      <c r="H25" s="334"/>
      <c r="I25" s="334"/>
    </row>
    <row r="26" spans="2:9" x14ac:dyDescent="0.2">
      <c r="B26" s="180">
        <f>IF('ن-فرعي'!D35&gt;0,'ن-فرعي'!D35,"")</f>
        <v>21101001</v>
      </c>
      <c r="C26" s="14" t="str">
        <f>IF('ن-فرعي'!E35&gt;0,'ن-فرعي'!E35,"")</f>
        <v>مساهمة الجامعة في صندوق الادخار</v>
      </c>
      <c r="D26" s="12">
        <f>IF('ن-فرعي'!F35&gt;0,'ن-فرعي'!F35,"")</f>
        <v>320000</v>
      </c>
      <c r="E26" s="12">
        <f>IF('ن-فرعي'!G35&gt;0,'ن-فرعي'!G35,"")</f>
        <v>355000</v>
      </c>
      <c r="F26" s="177">
        <f>IF('ن-فرعي'!H35&gt;0,'ن-فرعي'!H35,"")</f>
        <v>354687.69799999997</v>
      </c>
      <c r="G26" s="12" t="str">
        <f>IF('ن-فرعي'!I35&gt;0,'ن-فرعي'!I35,"")</f>
        <v/>
      </c>
      <c r="H26" s="167">
        <f t="shared" si="0"/>
        <v>0.99912027605633791</v>
      </c>
      <c r="I26" s="168">
        <f t="shared" si="1"/>
        <v>9.9285549770462434E-3</v>
      </c>
    </row>
    <row r="27" spans="2:9" x14ac:dyDescent="0.2">
      <c r="B27" s="180">
        <f>IF('ن-فرعي'!D38&gt;0,'ن-فرعي'!D38,"")</f>
        <v>21102001</v>
      </c>
      <c r="C27" s="14" t="str">
        <f>IF('ن-فرعي'!E38&gt;0,'ن-فرعي'!E38,"")</f>
        <v>مساهمة الجامعة في الضمان الاجتماعي</v>
      </c>
      <c r="D27" s="12">
        <f>IF('ن-فرعي'!F38&gt;0,'ن-فرعي'!F38,"")</f>
        <v>1900000</v>
      </c>
      <c r="E27" s="12">
        <f>IF('ن-فرعي'!G38&gt;0,'ن-فرعي'!G38,"")</f>
        <v>1900000</v>
      </c>
      <c r="F27" s="177">
        <f>IF('ن-فرعي'!H38&gt;0,'ن-فرعي'!H38,"")</f>
        <v>1875770.15</v>
      </c>
      <c r="G27" s="12" t="str">
        <f>IF('ن-فرعي'!I38&gt;0,'ن-فرعي'!I38,"")</f>
        <v/>
      </c>
      <c r="H27" s="167">
        <f t="shared" si="0"/>
        <v>0.98724744736842096</v>
      </c>
      <c r="I27" s="168">
        <f t="shared" si="1"/>
        <v>5.2507282219236368E-2</v>
      </c>
    </row>
    <row r="28" spans="2:9" x14ac:dyDescent="0.2">
      <c r="B28" s="180">
        <f>IF('ن-فرعي'!D41&gt;0,'ن-فرعي'!D41,"")</f>
        <v>21103001</v>
      </c>
      <c r="C28" s="14" t="str">
        <f>IF('ن-فرعي'!E41&gt;0,'ن-فرعي'!E41,"")</f>
        <v>مساهمة الجامعة في التامين الصحي للعاملين</v>
      </c>
      <c r="D28" s="12">
        <f>IF('ن-فرعي'!F41&gt;0,'ن-فرعي'!F41,"")</f>
        <v>1200000</v>
      </c>
      <c r="E28" s="12">
        <f>IF('ن-فرعي'!G41&gt;0,'ن-فرعي'!G41,"")</f>
        <v>1200000</v>
      </c>
      <c r="F28" s="177">
        <f>IF('ن-فرعي'!H41&gt;0,'ن-فرعي'!H41,"")</f>
        <v>862388.85900000005</v>
      </c>
      <c r="G28" s="12" t="str">
        <f>IF('ن-فرعي'!I41&gt;0,'ن-فرعي'!I41,"")</f>
        <v/>
      </c>
      <c r="H28" s="167">
        <f t="shared" si="0"/>
        <v>0.7186573825</v>
      </c>
      <c r="I28" s="168">
        <f t="shared" si="1"/>
        <v>2.4140321884447431E-2</v>
      </c>
    </row>
    <row r="29" spans="2:9" x14ac:dyDescent="0.2">
      <c r="B29" s="180">
        <f>IF('ن-فرعي'!D44&gt;0,'ن-فرعي'!D44,"")</f>
        <v>21104001</v>
      </c>
      <c r="C29" s="14" t="str">
        <f>IF('ن-فرعي'!E44&gt;0,'ن-فرعي'!E44,"")</f>
        <v>مساهمة الجامعة في التامين على حياة العاملين</v>
      </c>
      <c r="D29" s="12">
        <f>IF('ن-فرعي'!F44&gt;0,'ن-فرعي'!F44,"")</f>
        <v>30000</v>
      </c>
      <c r="E29" s="12">
        <f>IF('ن-فرعي'!G44&gt;0,'ن-فرعي'!G44,"")</f>
        <v>30000</v>
      </c>
      <c r="F29" s="177" t="str">
        <f>IF('ن-فرعي'!H44&gt;0,'ن-فرعي'!H44,"")</f>
        <v/>
      </c>
      <c r="G29" s="12" t="str">
        <f>IF('ن-فرعي'!I44&gt;0,'ن-فرعي'!I44,"")</f>
        <v/>
      </c>
      <c r="H29" s="167" t="str">
        <f t="shared" si="0"/>
        <v/>
      </c>
      <c r="I29" s="168" t="str">
        <f t="shared" si="1"/>
        <v/>
      </c>
    </row>
    <row r="30" spans="2:9" x14ac:dyDescent="0.2">
      <c r="B30" s="180">
        <f>IF('ن-فرعي'!D47&gt;0,'ن-فرعي'!D47,"")</f>
        <v>21105001</v>
      </c>
      <c r="C30" s="14" t="str">
        <f>IF('ن-فرعي'!E47&gt;0,'ن-فرعي'!E47,"")</f>
        <v>مساهمة الجامعة في مكافأة نهاية الخدمة للعاملين</v>
      </c>
      <c r="D30" s="12">
        <f>IF('ن-فرعي'!F47&gt;0,'ن-فرعي'!F47,"")</f>
        <v>1000000</v>
      </c>
      <c r="E30" s="12">
        <f>IF('ن-فرعي'!G47&gt;0,'ن-فرعي'!G47,"")</f>
        <v>965000</v>
      </c>
      <c r="F30" s="177">
        <f>IF('ن-فرعي'!H47&gt;0,'ن-فرعي'!H47,"")</f>
        <v>852095.99</v>
      </c>
      <c r="G30" s="12" t="str">
        <f>IF('ن-فرعي'!I47&gt;0,'ن-فرعي'!I47,"")</f>
        <v/>
      </c>
      <c r="H30" s="167">
        <f t="shared" si="0"/>
        <v>0.88300102590673579</v>
      </c>
      <c r="I30" s="168">
        <f t="shared" si="1"/>
        <v>2.3852199921621318E-2</v>
      </c>
    </row>
    <row r="31" spans="2:9" x14ac:dyDescent="0.2">
      <c r="B31" s="341" t="str">
        <f>'ن-فرعي'!B49</f>
        <v>مجموع الفصل الثاني: التعويضات والتأمينات للعاملين</v>
      </c>
      <c r="C31" s="341"/>
      <c r="D31" s="57">
        <f>SUM(D26:D30)</f>
        <v>4450000</v>
      </c>
      <c r="E31" s="57">
        <f>SUM(E26:E30)</f>
        <v>4450000</v>
      </c>
      <c r="F31" s="57">
        <f t="shared" ref="F31:G31" si="3">SUM(F26:F30)</f>
        <v>3944942.6969999997</v>
      </c>
      <c r="G31" s="57">
        <f t="shared" si="3"/>
        <v>0</v>
      </c>
      <c r="H31" s="167">
        <f t="shared" si="0"/>
        <v>0.88650397685393256</v>
      </c>
      <c r="I31" s="168">
        <f t="shared" si="1"/>
        <v>0.11042835900235135</v>
      </c>
    </row>
    <row r="32" spans="2:9" x14ac:dyDescent="0.2">
      <c r="B32" s="334" t="str">
        <f>'ن-فرعي'!B50:I50</f>
        <v>الفصل الثالث: اللوازم والمهمات والصيانة</v>
      </c>
      <c r="C32" s="334"/>
      <c r="D32" s="334"/>
      <c r="E32" s="334"/>
      <c r="F32" s="334"/>
      <c r="G32" s="334"/>
      <c r="H32" s="334"/>
      <c r="I32" s="334"/>
    </row>
    <row r="33" spans="2:9" x14ac:dyDescent="0.2">
      <c r="B33" s="180">
        <f>IF('ن-فرعي'!D52&gt;0,'ن-فرعي'!D52,"")</f>
        <v>21603003</v>
      </c>
      <c r="C33" s="14" t="str">
        <f>IF('ن-فرعي'!E52&gt;0,'ن-فرعي'!E52,"")</f>
        <v>صيانة الأجهزة الحاسوبية وملحقاتها</v>
      </c>
      <c r="D33" s="12">
        <f>IF('ن-فرعي'!F52&gt;0,'ن-فرعي'!F52,"")</f>
        <v>40000</v>
      </c>
      <c r="E33" s="12">
        <f>IF('ن-فرعي'!G52&gt;0,'ن-فرعي'!G52,"")</f>
        <v>45000</v>
      </c>
      <c r="F33" s="177">
        <f>IF('ن-فرعي'!H52&gt;0,'ن-فرعي'!H52,"")</f>
        <v>5559.61</v>
      </c>
      <c r="G33" s="12">
        <f>IF('ن-فرعي'!I52&gt;0,'ن-فرعي'!I52,"")</f>
        <v>35000</v>
      </c>
      <c r="H33" s="167">
        <f t="shared" si="0"/>
        <v>0.12354688888888889</v>
      </c>
      <c r="I33" s="168">
        <f t="shared" si="1"/>
        <v>1.5562674952412944E-4</v>
      </c>
    </row>
    <row r="34" spans="2:9" x14ac:dyDescent="0.2">
      <c r="B34" s="180">
        <f>IF('ن-فرعي'!D53&gt;0,'ن-فرعي'!D53,"")</f>
        <v>21603004</v>
      </c>
      <c r="C34" s="14" t="str">
        <f>IF('ن-فرعي'!E53&gt;0,'ن-فرعي'!E53,"")</f>
        <v>صيانة الشبكة الحاسوبية</v>
      </c>
      <c r="D34" s="12">
        <f>IF('ن-فرعي'!F53&gt;0,'ن-فرعي'!F53,"")</f>
        <v>95000</v>
      </c>
      <c r="E34" s="12">
        <f>IF('ن-فرعي'!G53&gt;0,'ن-فرعي'!G53,"")</f>
        <v>95000</v>
      </c>
      <c r="F34" s="177">
        <f>IF('ن-فرعي'!H53&gt;0,'ن-فرعي'!H53,"")</f>
        <v>3767.9989999999998</v>
      </c>
      <c r="G34" s="12">
        <f>IF('ن-فرعي'!I53&gt;0,'ن-فرعي'!I53,"")</f>
        <v>65000</v>
      </c>
      <c r="H34" s="167">
        <f t="shared" si="0"/>
        <v>3.9663147368421053E-2</v>
      </c>
      <c r="I34" s="168">
        <f t="shared" si="1"/>
        <v>1.0547528272309932E-4</v>
      </c>
    </row>
    <row r="35" spans="2:9" x14ac:dyDescent="0.2">
      <c r="B35" s="180">
        <f>IF('ن-فرعي'!D54&gt;0,'ن-فرعي'!D54,"")</f>
        <v>21603006</v>
      </c>
      <c r="C35" s="14" t="str">
        <f>IF('ن-فرعي'!E54&gt;0,'ن-فرعي'!E54,"")</f>
        <v>صيانة موقع الحوسبة الرئيسي وملحقاته</v>
      </c>
      <c r="D35" s="12">
        <f>IF('ن-فرعي'!F54&gt;0,'ن-فرعي'!F54,"")</f>
        <v>60000</v>
      </c>
      <c r="E35" s="12">
        <f>IF('ن-فرعي'!G54&gt;0,'ن-فرعي'!G54,"")</f>
        <v>55000</v>
      </c>
      <c r="F35" s="177">
        <f>IF('ن-فرعي'!H54&gt;0,'ن-فرعي'!H54,"")</f>
        <v>772</v>
      </c>
      <c r="G35" s="12">
        <f>IF('ن-فرعي'!I54&gt;0,'ن-فرعي'!I54,"")</f>
        <v>20000</v>
      </c>
      <c r="H35" s="167">
        <f t="shared" si="0"/>
        <v>1.4036363636363637E-2</v>
      </c>
      <c r="I35" s="168">
        <f t="shared" si="1"/>
        <v>2.1610122046803268E-5</v>
      </c>
    </row>
    <row r="36" spans="2:9" x14ac:dyDescent="0.2">
      <c r="B36" s="180">
        <f>IF('ن-فرعي'!D57&gt;0,'ن-فرعي'!D57,"")</f>
        <v>21604001</v>
      </c>
      <c r="C36" s="14" t="str">
        <f>IF('ن-فرعي'!E57&gt;0,'ن-فرعي'!E57,"")</f>
        <v xml:space="preserve">مواد ولوازم وصيانة وعقود صيانة  المباني </v>
      </c>
      <c r="D36" s="12">
        <f>IF('ن-فرعي'!F57&gt;0,'ن-فرعي'!F57,"")</f>
        <v>50000</v>
      </c>
      <c r="E36" s="12">
        <f>IF('ن-فرعي'!G57&gt;0,'ن-فرعي'!G57,"")</f>
        <v>30000</v>
      </c>
      <c r="F36" s="177">
        <f>IF('ن-فرعي'!H57&gt;0,'ن-فرعي'!H57,"")</f>
        <v>21967.065999999999</v>
      </c>
      <c r="G36" s="12">
        <f>IF('ن-فرعي'!I57&gt;0,'ن-فرعي'!I57,"")</f>
        <v>4967.25</v>
      </c>
      <c r="H36" s="167">
        <f t="shared" si="0"/>
        <v>0.73223553333333324</v>
      </c>
      <c r="I36" s="168">
        <f t="shared" si="1"/>
        <v>6.1491059231888923E-4</v>
      </c>
    </row>
    <row r="37" spans="2:9" x14ac:dyDescent="0.2">
      <c r="B37" s="180">
        <f>IF('ن-فرعي'!D58&gt;0,'ن-فرعي'!D58,"")</f>
        <v>21604002</v>
      </c>
      <c r="C37" s="14" t="str">
        <f>IF('ن-فرعي'!E58&gt;0,'ن-فرعي'!E58,"")</f>
        <v xml:space="preserve">مواد ولوازم وقطع غيار وعقود صيانة التجهيزات والأجهزة والمعدات </v>
      </c>
      <c r="D37" s="12">
        <f>IF('ن-فرعي'!F58&gt;0,'ن-فرعي'!F58,"")</f>
        <v>60000</v>
      </c>
      <c r="E37" s="12">
        <f>IF('ن-فرعي'!G58&gt;0,'ن-فرعي'!G58,"")</f>
        <v>40000</v>
      </c>
      <c r="F37" s="177">
        <f>IF('ن-فرعي'!H58&gt;0,'ن-فرعي'!H58,"")</f>
        <v>6936.63</v>
      </c>
      <c r="G37" s="12">
        <f>IF('ن-فرعي'!I58&gt;0,'ن-فرعي'!I58,"")</f>
        <v>7280.4750000000004</v>
      </c>
      <c r="H37" s="167">
        <f t="shared" si="0"/>
        <v>0.17341575000000001</v>
      </c>
      <c r="I37" s="168">
        <f t="shared" si="1"/>
        <v>1.9417282499160229E-4</v>
      </c>
    </row>
    <row r="38" spans="2:9" x14ac:dyDescent="0.2">
      <c r="B38" s="180">
        <f>IF('ن-فرعي'!D59&gt;0,'ن-فرعي'!D59,"")</f>
        <v>21604004</v>
      </c>
      <c r="C38" s="14" t="str">
        <f>IF('ن-فرعي'!E59&gt;0,'ن-فرعي'!E59,"")</f>
        <v>مواد ولوازم صيانة طفايات الحريق</v>
      </c>
      <c r="D38" s="12">
        <f>IF('ن-فرعي'!F59&gt;0,'ن-فرعي'!F59,"")</f>
        <v>5000</v>
      </c>
      <c r="E38" s="12">
        <f>IF('ن-فرعي'!G59&gt;0,'ن-فرعي'!G59,"")</f>
        <v>5000</v>
      </c>
      <c r="F38" s="177" t="str">
        <f>IF('ن-فرعي'!H59&gt;0,'ن-فرعي'!H59,"")</f>
        <v/>
      </c>
      <c r="G38" s="12" t="str">
        <f>IF('ن-فرعي'!I59&gt;0,'ن-فرعي'!I59,"")</f>
        <v/>
      </c>
      <c r="H38" s="167" t="str">
        <f t="shared" si="0"/>
        <v/>
      </c>
      <c r="I38" s="168" t="str">
        <f t="shared" si="1"/>
        <v/>
      </c>
    </row>
    <row r="39" spans="2:9" x14ac:dyDescent="0.2">
      <c r="B39" s="180">
        <f>IF('ن-فرعي'!D60&gt;0,'ن-فرعي'!D60,"")</f>
        <v>21604010</v>
      </c>
      <c r="C39" s="136" t="str">
        <f>IF('ن-فرعي'!E60&gt;0,'ن-فرعي'!E60,"")</f>
        <v>مواد ولوازم شعبة المفاتيح</v>
      </c>
      <c r="D39" s="12">
        <f>IF('ن-فرعي'!F60&gt;0,'ن-فرعي'!F60,"")</f>
        <v>1500</v>
      </c>
      <c r="E39" s="12">
        <f>IF('ن-فرعي'!G60&gt;0,'ن-فرعي'!G60,"")</f>
        <v>1500</v>
      </c>
      <c r="F39" s="177">
        <f>IF('ن-فرعي'!H60&gt;0,'ن-فرعي'!H60,"")</f>
        <v>238.8</v>
      </c>
      <c r="G39" s="12" t="str">
        <f>IF('ن-فرعي'!I60&gt;0,'ن-فرعي'!I60,"")</f>
        <v/>
      </c>
      <c r="H39" s="167">
        <f t="shared" si="0"/>
        <v>0.15920000000000001</v>
      </c>
      <c r="I39" s="168">
        <f t="shared" si="1"/>
        <v>6.6845817937520999E-6</v>
      </c>
    </row>
    <row r="40" spans="2:9" s="37" customFormat="1" x14ac:dyDescent="0.2">
      <c r="B40" s="181">
        <f>IF('ن-فرعي'!D61&gt;0,'ن-فرعي'!D61,"")</f>
        <v>21604017</v>
      </c>
      <c r="C40" s="111" t="str">
        <f>IF('ن-فرعي'!E61&gt;0,'ن-فرعي'!E61,"")</f>
        <v>صيانة وتشغيل نظام الطاقة الشمسية</v>
      </c>
      <c r="D40" s="12">
        <f>IF('ن-فرعي'!F61&gt;0,'ن-فرعي'!F61,"")</f>
        <v>100000</v>
      </c>
      <c r="E40" s="12">
        <f>IF('ن-فرعي'!G61&gt;0,'ن-فرعي'!G61,"")</f>
        <v>140000</v>
      </c>
      <c r="F40" s="177">
        <f>IF('ن-فرعي'!H61&gt;0,'ن-فرعي'!H61,"")</f>
        <v>4860.0330000000004</v>
      </c>
      <c r="G40" s="12">
        <f>IF('ن-فرعي'!I61&gt;0,'ن-فرعي'!I61,"")</f>
        <v>135139.967</v>
      </c>
      <c r="H40" s="167">
        <f t="shared" si="0"/>
        <v>3.4714521428571433E-2</v>
      </c>
      <c r="I40" s="168">
        <f t="shared" si="1"/>
        <v>1.360439200537454E-4</v>
      </c>
    </row>
    <row r="41" spans="2:9" x14ac:dyDescent="0.2">
      <c r="B41" s="180">
        <f>IF('ن-فرعي'!D64&gt;0,'ن-فرعي'!D64,"")</f>
        <v>21605001</v>
      </c>
      <c r="C41" s="136" t="str">
        <f>IF('ن-فرعي'!E64&gt;0,'ن-فرعي'!E64,"")</f>
        <v>مواد تنظيف ومبيدات الوقاية الصحية وعقود النظافة العامة</v>
      </c>
      <c r="D41" s="12">
        <f>IF('ن-فرعي'!F64&gt;0,'ن-فرعي'!F64,"")</f>
        <v>50000</v>
      </c>
      <c r="E41" s="12">
        <f>IF('ن-فرعي'!G64&gt;0,'ن-فرعي'!G64,"")</f>
        <v>50000</v>
      </c>
      <c r="F41" s="177">
        <f>IF('ن-فرعي'!H64&gt;0,'ن-فرعي'!H64,"")</f>
        <v>2391.7559999999999</v>
      </c>
      <c r="G41" s="12" t="str">
        <f>IF('ن-فرعي'!I64&gt;0,'ن-فرعي'!I64,"")</f>
        <v/>
      </c>
      <c r="H41" s="167">
        <f t="shared" si="0"/>
        <v>4.7835119999999995E-2</v>
      </c>
      <c r="I41" s="168">
        <f t="shared" si="1"/>
        <v>6.6950957339603629E-5</v>
      </c>
    </row>
    <row r="42" spans="2:9" x14ac:dyDescent="0.2">
      <c r="B42" s="180">
        <f>IF('ن-فرعي'!D67&gt;0,'ن-فرعي'!D67,"")</f>
        <v>21606001</v>
      </c>
      <c r="C42" s="136" t="str">
        <f>IF('ن-فرعي'!E67&gt;0,'ن-فرعي'!E67,"")</f>
        <v>ملابس المستخدمين</v>
      </c>
      <c r="D42" s="12">
        <f>IF('ن-فرعي'!F67&gt;0,'ن-فرعي'!F67,"")</f>
        <v>30000</v>
      </c>
      <c r="E42" s="12">
        <f>IF('ن-فرعي'!G67&gt;0,'ن-فرعي'!G67,"")</f>
        <v>30000</v>
      </c>
      <c r="F42" s="177" t="str">
        <f>IF('ن-فرعي'!H67&gt;0,'ن-فرعي'!H67,"")</f>
        <v/>
      </c>
      <c r="G42" s="12" t="str">
        <f>IF('ن-فرعي'!I67&gt;0,'ن-فرعي'!I67,"")</f>
        <v/>
      </c>
      <c r="H42" s="167" t="str">
        <f t="shared" si="0"/>
        <v/>
      </c>
      <c r="I42" s="168" t="str">
        <f t="shared" si="1"/>
        <v/>
      </c>
    </row>
    <row r="43" spans="2:9" x14ac:dyDescent="0.2">
      <c r="B43" s="180">
        <f>IF('ن-فرعي'!D68&gt;0,'ن-فرعي'!D68,"")</f>
        <v>21606002</v>
      </c>
      <c r="C43" s="136" t="str">
        <f>IF('ن-فرعي'!E68&gt;0,'ن-فرعي'!E68,"")</f>
        <v>ملابس فرق عمادة شؤون الطلبة</v>
      </c>
      <c r="D43" s="12">
        <f>IF('ن-فرعي'!F68&gt;0,'ن-فرعي'!F68,"")</f>
        <v>7000</v>
      </c>
      <c r="E43" s="12">
        <f>IF('ن-فرعي'!G68&gt;0,'ن-فرعي'!G68,"")</f>
        <v>7000</v>
      </c>
      <c r="F43" s="177" t="str">
        <f>IF('ن-فرعي'!H68&gt;0,'ن-فرعي'!H68,"")</f>
        <v/>
      </c>
      <c r="G43" s="12" t="str">
        <f>IF('ن-فرعي'!I68&gt;0,'ن-فرعي'!I68,"")</f>
        <v/>
      </c>
      <c r="H43" s="167" t="str">
        <f t="shared" si="0"/>
        <v/>
      </c>
      <c r="I43" s="168" t="str">
        <f t="shared" si="1"/>
        <v/>
      </c>
    </row>
    <row r="44" spans="2:9" x14ac:dyDescent="0.2">
      <c r="B44" s="180">
        <f>IF('ن-فرعي'!D69&gt;0,'ن-فرعي'!D69,"")</f>
        <v>21606003</v>
      </c>
      <c r="C44" s="136" t="str">
        <f>IF('ن-فرعي'!E69&gt;0,'ن-فرعي'!E69,"")</f>
        <v>ملابس العلاقات العامه</v>
      </c>
      <c r="D44" s="12">
        <f>IF('ن-فرعي'!F69&gt;0,'ن-فرعي'!F69,"")</f>
        <v>500</v>
      </c>
      <c r="E44" s="12">
        <f>IF('ن-فرعي'!G69&gt;0,'ن-فرعي'!G69,"")</f>
        <v>500</v>
      </c>
      <c r="F44" s="177" t="str">
        <f>IF('ن-فرعي'!H69&gt;0,'ن-فرعي'!H69,"")</f>
        <v/>
      </c>
      <c r="G44" s="12" t="str">
        <f>IF('ن-فرعي'!I69&gt;0,'ن-فرعي'!I69,"")</f>
        <v/>
      </c>
      <c r="H44" s="167" t="str">
        <f t="shared" si="0"/>
        <v/>
      </c>
      <c r="I44" s="168" t="str">
        <f t="shared" si="1"/>
        <v/>
      </c>
    </row>
    <row r="45" spans="2:9" x14ac:dyDescent="0.2">
      <c r="B45" s="180">
        <f>IF('ن-فرعي'!D72&gt;0,'ن-فرعي'!D72,"")</f>
        <v>21607001</v>
      </c>
      <c r="C45" s="136" t="str">
        <f>IF('ن-فرعي'!E72&gt;0,'ن-فرعي'!E72,"")</f>
        <v>قرطاسية ولوازم مكتبية</v>
      </c>
      <c r="D45" s="12">
        <f>IF('ن-فرعي'!F72&gt;0,'ن-فرعي'!F72,"")</f>
        <v>70000</v>
      </c>
      <c r="E45" s="12">
        <f>IF('ن-فرعي'!G72&gt;0,'ن-فرعي'!G72,"")</f>
        <v>70000</v>
      </c>
      <c r="F45" s="177">
        <f>IF('ن-فرعي'!H72&gt;0,'ن-فرعي'!H72,"")</f>
        <v>1925.52</v>
      </c>
      <c r="G45" s="12">
        <f>IF('ن-فرعي'!I72&gt;0,'ن-فرعي'!I72,"")</f>
        <v>8354.75</v>
      </c>
      <c r="H45" s="167">
        <f t="shared" si="0"/>
        <v>2.7507428571428572E-2</v>
      </c>
      <c r="I45" s="168">
        <f t="shared" si="1"/>
        <v>5.3899899227410145E-5</v>
      </c>
    </row>
    <row r="46" spans="2:9" x14ac:dyDescent="0.2">
      <c r="B46" s="180">
        <f>IF('ن-فرعي'!D73&gt;0,'ن-فرعي'!D73,"")</f>
        <v>21607004</v>
      </c>
      <c r="C46" s="136" t="str">
        <f>IF('ن-فرعي'!E73&gt;0,'ن-فرعي'!E73,"")</f>
        <v>أحبار</v>
      </c>
      <c r="D46" s="12">
        <f>IF('ن-فرعي'!F73&gt;0,'ن-فرعي'!F73,"")</f>
        <v>15000</v>
      </c>
      <c r="E46" s="12">
        <f>IF('ن-فرعي'!G73&gt;0,'ن-فرعي'!G73,"")</f>
        <v>15000</v>
      </c>
      <c r="F46" s="177">
        <f>IF('ن-فرعي'!H73&gt;0,'ن-فرعي'!H73,"")</f>
        <v>3944.9560000000001</v>
      </c>
      <c r="G46" s="12">
        <f>IF('ن-فرعي'!I73&gt;0,'ن-فرعي'!I73,"")</f>
        <v>4165.7439999999997</v>
      </c>
      <c r="H46" s="167">
        <f t="shared" si="0"/>
        <v>0.26299706666666667</v>
      </c>
      <c r="I46" s="168">
        <f t="shared" si="1"/>
        <v>1.1042873138506327E-4</v>
      </c>
    </row>
    <row r="47" spans="2:9" s="37" customFormat="1" x14ac:dyDescent="0.2">
      <c r="B47" s="181">
        <f>IF('ن-فرعي'!D74&gt;0,'ن-فرعي'!D74,"")</f>
        <v>21607005</v>
      </c>
      <c r="C47" s="136" t="str">
        <f>IF('ن-فرعي'!E74&gt;0,'ن-فرعي'!E74,"")</f>
        <v>شهادات وحافظات تخرج</v>
      </c>
      <c r="D47" s="96">
        <f>IF('ن-فرعي'!F74&gt;0,'ن-فرعي'!F74,"")</f>
        <v>7000</v>
      </c>
      <c r="E47" s="96">
        <f>IF('ن-فرعي'!G74&gt;0,'ن-فرعي'!G74,"")</f>
        <v>7000</v>
      </c>
      <c r="F47" s="177" t="str">
        <f>IF('ن-فرعي'!H74&gt;0,'ن-فرعي'!H74,"")</f>
        <v/>
      </c>
      <c r="G47" s="96">
        <f>IF('ن-فرعي'!I74&gt;0,'ن-فرعي'!I74,"")</f>
        <v>6999.75</v>
      </c>
      <c r="H47" s="167" t="str">
        <f t="shared" si="0"/>
        <v/>
      </c>
      <c r="I47" s="168" t="str">
        <f t="shared" si="1"/>
        <v/>
      </c>
    </row>
    <row r="48" spans="2:9" x14ac:dyDescent="0.2">
      <c r="B48" s="180">
        <f>IF('ن-فرعي'!D77&gt;0,'ن-فرعي'!D77,"")</f>
        <v>21609001</v>
      </c>
      <c r="C48" s="136" t="str">
        <f>IF('ن-فرعي'!E77&gt;0,'ن-فرعي'!E77,"")</f>
        <v>اسمدة ومبيدات ولوازم زراعية</v>
      </c>
      <c r="D48" s="12">
        <f>IF('ن-فرعي'!F77&gt;0,'ن-فرعي'!F77,"")</f>
        <v>15000</v>
      </c>
      <c r="E48" s="12">
        <f>IF('ن-فرعي'!G77&gt;0,'ن-فرعي'!G77,"")</f>
        <v>15000</v>
      </c>
      <c r="F48" s="177">
        <f>IF('ن-فرعي'!H77&gt;0,'ن-فرعي'!H77,"")</f>
        <v>715.5</v>
      </c>
      <c r="G48" s="12" t="str">
        <f>IF('ن-فرعي'!I77&gt;0,'ن-فرعي'!I77,"")</f>
        <v/>
      </c>
      <c r="H48" s="167">
        <f t="shared" si="0"/>
        <v>4.7699999999999999E-2</v>
      </c>
      <c r="I48" s="168">
        <f t="shared" si="1"/>
        <v>2.0028552233792408E-5</v>
      </c>
    </row>
    <row r="49" spans="2:9" x14ac:dyDescent="0.2">
      <c r="B49" s="180">
        <f>IF('ن-فرعي'!D78&gt;0,'ن-فرعي'!D78,"")</f>
        <v>21609002</v>
      </c>
      <c r="C49" s="14" t="str">
        <f>IF('ن-فرعي'!E78&gt;0,'ن-فرعي'!E78,"")</f>
        <v>مواد ولوازم وقطع غيار وصيانة الشبكات والآبار الارتوازية</v>
      </c>
      <c r="D49" s="12">
        <f>IF('ن-فرعي'!F78&gt;0,'ن-فرعي'!F78,"")</f>
        <v>25000</v>
      </c>
      <c r="E49" s="12">
        <f>IF('ن-فرعي'!G78&gt;0,'ن-فرعي'!G78,"")</f>
        <v>25000</v>
      </c>
      <c r="F49" s="177" t="str">
        <f>IF('ن-فرعي'!H78&gt;0,'ن-فرعي'!H78,"")</f>
        <v/>
      </c>
      <c r="G49" s="12" t="str">
        <f>IF('ن-فرعي'!I78&gt;0,'ن-فرعي'!I78,"")</f>
        <v/>
      </c>
      <c r="H49" s="167" t="str">
        <f t="shared" si="0"/>
        <v/>
      </c>
      <c r="I49" s="168" t="str">
        <f t="shared" si="1"/>
        <v/>
      </c>
    </row>
    <row r="50" spans="2:9" x14ac:dyDescent="0.2">
      <c r="B50" s="180">
        <f>IF('ن-فرعي'!D81&gt;0,'ن-فرعي'!D81,"")</f>
        <v>21610001</v>
      </c>
      <c r="C50" s="12" t="str">
        <f>IF('ن-فرعي'!E81&gt;0,'ن-فرعي'!E81,"")</f>
        <v>أعلام ومستلزماتها</v>
      </c>
      <c r="D50" s="12">
        <f>IF('ن-فرعي'!F81&gt;0,'ن-فرعي'!F81,"")</f>
        <v>4000</v>
      </c>
      <c r="E50" s="12">
        <f>IF('ن-فرعي'!G81&gt;0,'ن-فرعي'!G81,"")</f>
        <v>4000</v>
      </c>
      <c r="F50" s="177" t="str">
        <f>IF('ن-فرعي'!H81&gt;0,'ن-فرعي'!H81,"")</f>
        <v/>
      </c>
      <c r="G50" s="12" t="str">
        <f>IF('ن-فرعي'!I81&gt;0,'ن-فرعي'!I81,"")</f>
        <v/>
      </c>
      <c r="H50" s="167" t="str">
        <f t="shared" si="0"/>
        <v/>
      </c>
      <c r="I50" s="168" t="str">
        <f t="shared" si="1"/>
        <v/>
      </c>
    </row>
    <row r="51" spans="2:9" x14ac:dyDescent="0.2">
      <c r="B51" s="341" t="str">
        <f>'ن-فرعي'!B83</f>
        <v>مجموع الفصل الثالث: اللوازم والمهمات والصيانة</v>
      </c>
      <c r="C51" s="341"/>
      <c r="D51" s="57">
        <f t="shared" ref="D51:G51" si="4">SUM(D33:D50)</f>
        <v>635000</v>
      </c>
      <c r="E51" s="57">
        <f>SUM(E33:E50)</f>
        <v>635000</v>
      </c>
      <c r="F51" s="57">
        <f t="shared" si="4"/>
        <v>53079.87</v>
      </c>
      <c r="G51" s="57">
        <f t="shared" si="4"/>
        <v>286907.93600000005</v>
      </c>
      <c r="H51" s="167">
        <f t="shared" si="0"/>
        <v>8.3590346456692916E-2</v>
      </c>
      <c r="I51" s="168">
        <f t="shared" si="1"/>
        <v>1.4858322136378907E-3</v>
      </c>
    </row>
    <row r="52" spans="2:9" x14ac:dyDescent="0.2">
      <c r="B52" s="334" t="str">
        <f>'ن-فرعي'!B84:I84</f>
        <v>الفصل الرابع: دعم الصناديق والخدمات والنشاطات الطلابية</v>
      </c>
      <c r="C52" s="334"/>
      <c r="D52" s="334"/>
      <c r="E52" s="334"/>
      <c r="F52" s="334"/>
      <c r="G52" s="334"/>
      <c r="H52" s="334"/>
      <c r="I52" s="334"/>
    </row>
    <row r="53" spans="2:9" x14ac:dyDescent="0.2">
      <c r="B53" s="180">
        <f>IF('ن-فرعي'!D86&gt;0,'ن-فرعي'!D86,"")</f>
        <v>22601001</v>
      </c>
      <c r="C53" s="14" t="str">
        <f>IF('ن-فرعي'!E86&gt;0,'ن-فرعي'!E86,"")</f>
        <v>النشاطات والرحلات والندوات الطلابية وورش العمل والتدريب</v>
      </c>
      <c r="D53" s="12">
        <f>IF('ن-فرعي'!F86&gt;0,'ن-فرعي'!F86,"")</f>
        <v>37000</v>
      </c>
      <c r="E53" s="12">
        <f>IF('ن-فرعي'!G86&gt;0,'ن-فرعي'!G86,"")</f>
        <v>37000</v>
      </c>
      <c r="F53" s="177">
        <f>IF('ن-فرعي'!H86&gt;0,'ن-فرعي'!H86,"")</f>
        <v>2505.5500000000002</v>
      </c>
      <c r="G53" s="12" t="str">
        <f>IF('ن-فرعي'!I86&gt;0,'ن-فرعي'!I86,"")</f>
        <v/>
      </c>
      <c r="H53" s="167">
        <f t="shared" si="0"/>
        <v>6.7717567567567569E-2</v>
      </c>
      <c r="I53" s="168">
        <f t="shared" si="1"/>
        <v>7.0136322920165726E-5</v>
      </c>
    </row>
    <row r="54" spans="2:9" s="37" customFormat="1" x14ac:dyDescent="0.2">
      <c r="B54" s="181">
        <f>IF('ن-فرعي'!D87&gt;0,'ن-فرعي'!D87,"")</f>
        <v>22601002</v>
      </c>
      <c r="C54" s="136" t="str">
        <f>IF('ن-فرعي'!E87&gt;0,'ن-فرعي'!E87,"")</f>
        <v>دراسات اقتصادية واجتماعية وانشطة متنوعة</v>
      </c>
      <c r="D54" s="96">
        <f>IF('ن-فرعي'!F87&gt;0,'ن-فرعي'!F87,"")</f>
        <v>5000</v>
      </c>
      <c r="E54" s="96">
        <f>IF('ن-فرعي'!G87&gt;0,'ن-فرعي'!G87,"")</f>
        <v>5000</v>
      </c>
      <c r="F54" s="177" t="str">
        <f>IF('ن-فرعي'!H87&gt;0,'ن-فرعي'!H87,"")</f>
        <v/>
      </c>
      <c r="G54" s="96" t="str">
        <f>IF('ن-فرعي'!I87&gt;0,'ن-فرعي'!I87,"")</f>
        <v/>
      </c>
      <c r="H54" s="167" t="str">
        <f t="shared" si="0"/>
        <v/>
      </c>
      <c r="I54" s="168" t="str">
        <f t="shared" si="1"/>
        <v/>
      </c>
    </row>
    <row r="55" spans="2:9" x14ac:dyDescent="0.2">
      <c r="B55" s="180">
        <f>IF('ن-فرعي'!D88&gt;0,'ن-فرعي'!D88,"")</f>
        <v>22601003</v>
      </c>
      <c r="C55" s="14" t="str">
        <f>IF('ن-فرعي'!E88&gt;0,'ن-فرعي'!E88,"")</f>
        <v>جوائز ومكافئات تشجيعية</v>
      </c>
      <c r="D55" s="12">
        <f>IF('ن-فرعي'!F88&gt;0,'ن-فرعي'!F88,"")</f>
        <v>7000</v>
      </c>
      <c r="E55" s="12">
        <f>IF('ن-فرعي'!G88&gt;0,'ن-فرعي'!G88,"")</f>
        <v>7000</v>
      </c>
      <c r="F55" s="177">
        <f>IF('ن-فرعي'!H88&gt;0,'ن-فرعي'!H88,"")</f>
        <v>918.75</v>
      </c>
      <c r="G55" s="12">
        <f>IF('ن-فرعي'!I88&gt;0,'ن-فرعي'!I88,"")</f>
        <v>393.75</v>
      </c>
      <c r="H55" s="167">
        <f t="shared" si="0"/>
        <v>0.13125000000000001</v>
      </c>
      <c r="I55" s="168">
        <f t="shared" si="1"/>
        <v>2.5718004702720858E-5</v>
      </c>
    </row>
    <row r="56" spans="2:9" x14ac:dyDescent="0.2">
      <c r="B56" s="180">
        <f>IF('ن-فرعي'!D89&gt;0,'ن-فرعي'!D89,"")</f>
        <v>22601006</v>
      </c>
      <c r="C56" s="14" t="str">
        <f>IF('ن-فرعي'!E89&gt;0,'ن-فرعي'!E89,"")</f>
        <v xml:space="preserve">أرواب التخريج </v>
      </c>
      <c r="D56" s="12">
        <f>IF('ن-فرعي'!F89&gt;0,'ن-فرعي'!F89,"")</f>
        <v>15000</v>
      </c>
      <c r="E56" s="12">
        <f>IF('ن-فرعي'!G89&gt;0,'ن-فرعي'!G89,"")</f>
        <v>15000</v>
      </c>
      <c r="F56" s="177" t="str">
        <f>IF('ن-فرعي'!H89&gt;0,'ن-فرعي'!H89,"")</f>
        <v/>
      </c>
      <c r="G56" s="12" t="str">
        <f>IF('ن-فرعي'!I89&gt;0,'ن-فرعي'!I89,"")</f>
        <v/>
      </c>
      <c r="H56" s="167" t="str">
        <f t="shared" si="0"/>
        <v/>
      </c>
      <c r="I56" s="168" t="str">
        <f t="shared" si="1"/>
        <v/>
      </c>
    </row>
    <row r="57" spans="2:9" x14ac:dyDescent="0.2">
      <c r="B57" s="180">
        <f>IF('ن-فرعي'!D90&gt;0,'ن-فرعي'!D90,"")</f>
        <v>22601009</v>
      </c>
      <c r="C57" s="14" t="str">
        <f>IF('ن-فرعي'!E90&gt;0,'ن-فرعي'!E90,"")</f>
        <v>نفقات التخريج</v>
      </c>
      <c r="D57" s="12">
        <f>IF('ن-فرعي'!F90&gt;0,'ن-فرعي'!F90,"")</f>
        <v>5000</v>
      </c>
      <c r="E57" s="12">
        <f>IF('ن-فرعي'!G90&gt;0,'ن-فرعي'!G90,"")</f>
        <v>5000</v>
      </c>
      <c r="F57" s="177">
        <f>IF('ن-فرعي'!H90&gt;0,'ن-فرعي'!H90,"")</f>
        <v>275.69600000000003</v>
      </c>
      <c r="G57" s="12" t="str">
        <f>IF('ن-فرعي'!I90&gt;0,'ن-فرعي'!I90,"")</f>
        <v/>
      </c>
      <c r="H57" s="167">
        <f t="shared" si="0"/>
        <v>5.5139200000000006E-2</v>
      </c>
      <c r="I57" s="168">
        <f t="shared" si="1"/>
        <v>7.7173888702272984E-6</v>
      </c>
    </row>
    <row r="58" spans="2:9" x14ac:dyDescent="0.2">
      <c r="B58" s="180">
        <f>IF('ن-فرعي'!D93&gt;0,'ن-فرعي'!D93,"")</f>
        <v>22602001</v>
      </c>
      <c r="C58" s="14" t="str">
        <f>IF('ن-فرعي'!E93&gt;0,'ن-فرعي'!E93,"")</f>
        <v>دعم صندوق الطلبة</v>
      </c>
      <c r="D58" s="12">
        <f>IF('ن-فرعي'!F93&gt;0,'ن-فرعي'!F93,"")</f>
        <v>100000</v>
      </c>
      <c r="E58" s="12">
        <f>IF('ن-فرعي'!G93&gt;0,'ن-فرعي'!G93,"")</f>
        <v>100000</v>
      </c>
      <c r="F58" s="177">
        <f>IF('ن-فرعي'!H93&gt;0,'ن-فرعي'!H93,"")</f>
        <v>13125</v>
      </c>
      <c r="G58" s="12" t="str">
        <f>IF('ن-فرعي'!I93&gt;0,'ن-فرعي'!I93,"")</f>
        <v/>
      </c>
      <c r="H58" s="167">
        <f t="shared" si="0"/>
        <v>0.13125000000000001</v>
      </c>
      <c r="I58" s="168">
        <f t="shared" si="1"/>
        <v>3.6740006718172658E-4</v>
      </c>
    </row>
    <row r="59" spans="2:9" x14ac:dyDescent="0.2">
      <c r="B59" s="180">
        <f>IF('ن-فرعي'!D96&gt;0,'ن-فرعي'!D96,"")</f>
        <v>22603001</v>
      </c>
      <c r="C59" s="14" t="str">
        <f>IF('ن-فرعي'!E96&gt;0,'ن-فرعي'!E96,"")</f>
        <v>التامين الصحي للطلبة</v>
      </c>
      <c r="D59" s="12">
        <f>IF('ن-فرعي'!F96&gt;0,'ن-فرعي'!F96,"")</f>
        <v>120000</v>
      </c>
      <c r="E59" s="12">
        <f>IF('ن-فرعي'!G96&gt;0,'ن-فرعي'!G96,"")</f>
        <v>120000</v>
      </c>
      <c r="F59" s="177">
        <f>IF('ن-فرعي'!H96&gt;0,'ن-فرعي'!H96,"")</f>
        <v>43872.08</v>
      </c>
      <c r="G59" s="12">
        <f>IF('ن-فرعي'!I96&gt;0,'ن-فرعي'!I96,"")</f>
        <v>1</v>
      </c>
      <c r="H59" s="167">
        <f t="shared" si="0"/>
        <v>0.36560066666666668</v>
      </c>
      <c r="I59" s="168">
        <f t="shared" si="1"/>
        <v>1.2280842010973015E-3</v>
      </c>
    </row>
    <row r="60" spans="2:9" x14ac:dyDescent="0.2">
      <c r="B60" s="180">
        <f>IF('ن-فرعي'!D99&gt;0,'ن-فرعي'!D99,"")</f>
        <v>22604001</v>
      </c>
      <c r="C60" s="14" t="str">
        <f>IF('ن-فرعي'!E99&gt;0,'ن-فرعي'!E99,"")</f>
        <v>التامين على حياة الطلبة</v>
      </c>
      <c r="D60" s="12">
        <f>IF('ن-فرعي'!F99&gt;0,'ن-فرعي'!F99,"")</f>
        <v>25000</v>
      </c>
      <c r="E60" s="12">
        <f>IF('ن-فرعي'!G99&gt;0,'ن-فرعي'!G99,"")</f>
        <v>25000</v>
      </c>
      <c r="F60" s="177" t="str">
        <f>IF('ن-فرعي'!H99&gt;0,'ن-فرعي'!H99,"")</f>
        <v/>
      </c>
      <c r="G60" s="12">
        <f>IF('ن-فرعي'!I99&gt;0,'ن-فرعي'!I99,"")</f>
        <v>20001</v>
      </c>
      <c r="H60" s="167" t="str">
        <f t="shared" si="0"/>
        <v/>
      </c>
      <c r="I60" s="168" t="str">
        <f t="shared" si="1"/>
        <v/>
      </c>
    </row>
    <row r="61" spans="2:9" x14ac:dyDescent="0.2">
      <c r="B61" s="180">
        <f>IF('ن-فرعي'!D102&gt;0,'ن-فرعي'!D102,"")</f>
        <v>22605002</v>
      </c>
      <c r="C61" s="14" t="str">
        <f>IF('ن-فرعي'!E102&gt;0,'ن-فرعي'!E102,"")</f>
        <v>الكتاب السنوي</v>
      </c>
      <c r="D61" s="12">
        <f>IF('ن-فرعي'!F102&gt;0,'ن-فرعي'!F102,"")</f>
        <v>15000</v>
      </c>
      <c r="E61" s="12">
        <f>IF('ن-فرعي'!G102&gt;0,'ن-فرعي'!G102,"")</f>
        <v>15000</v>
      </c>
      <c r="F61" s="177" t="str">
        <f>IF('ن-فرعي'!H102&gt;0,'ن-فرعي'!H102,"")</f>
        <v/>
      </c>
      <c r="G61" s="12" t="str">
        <f>IF('ن-فرعي'!I102&gt;0,'ن-فرعي'!I102,"")</f>
        <v/>
      </c>
      <c r="H61" s="167" t="str">
        <f t="shared" si="0"/>
        <v/>
      </c>
      <c r="I61" s="168" t="str">
        <f t="shared" si="1"/>
        <v/>
      </c>
    </row>
    <row r="62" spans="2:9" x14ac:dyDescent="0.2">
      <c r="B62" s="180">
        <f>IF('ن-فرعي'!D103&gt;0,'ن-فرعي'!D103,"")</f>
        <v>22605003</v>
      </c>
      <c r="C62" s="14" t="str">
        <f>IF('ن-فرعي'!E103&gt;0,'ن-فرعي'!E103,"")</f>
        <v>مجلة الشورى</v>
      </c>
      <c r="D62" s="12">
        <f>IF('ن-فرعي'!F103&gt;0,'ن-فرعي'!F103,"")</f>
        <v>5000</v>
      </c>
      <c r="E62" s="12">
        <f>IF('ن-فرعي'!G103&gt;0,'ن-فرعي'!G103,"")</f>
        <v>5000</v>
      </c>
      <c r="F62" s="177" t="str">
        <f>IF('ن-فرعي'!H103&gt;0,'ن-فرعي'!H103,"")</f>
        <v/>
      </c>
      <c r="G62" s="12" t="str">
        <f>IF('ن-فرعي'!I103&gt;0,'ن-فرعي'!I103,"")</f>
        <v/>
      </c>
      <c r="H62" s="167" t="str">
        <f t="shared" si="0"/>
        <v/>
      </c>
      <c r="I62" s="168" t="str">
        <f t="shared" si="1"/>
        <v/>
      </c>
    </row>
    <row r="63" spans="2:9" x14ac:dyDescent="0.2">
      <c r="B63" s="180">
        <f>IF('ن-فرعي'!D106&gt;0,'ن-فرعي'!D106,"")</f>
        <v>22607001</v>
      </c>
      <c r="C63" s="15" t="str">
        <f>IF('ن-فرعي'!E106&gt;0,'ن-فرعي'!E106,"")</f>
        <v>مساهمة الجامعة في موازنة مجلس الطلبة</v>
      </c>
      <c r="D63" s="88">
        <f>IF('ن-فرعي'!F106&gt;0,'ن-فرعي'!F106,"")</f>
        <v>2000</v>
      </c>
      <c r="E63" s="88">
        <f>IF('ن-فرعي'!G106&gt;0,'ن-فرعي'!G106,"")</f>
        <v>2000</v>
      </c>
      <c r="F63" s="177" t="str">
        <f>IF('ن-فرعي'!H106&gt;0,'ن-فرعي'!H106,"")</f>
        <v/>
      </c>
      <c r="G63" s="88" t="str">
        <f>IF('ن-فرعي'!I106&gt;0,'ن-فرعي'!I106,"")</f>
        <v/>
      </c>
      <c r="H63" s="167" t="str">
        <f t="shared" si="0"/>
        <v/>
      </c>
      <c r="I63" s="168" t="str">
        <f t="shared" si="1"/>
        <v/>
      </c>
    </row>
    <row r="64" spans="2:9" x14ac:dyDescent="0.2">
      <c r="B64" s="180">
        <f>IF('ن-فرعي'!D109&gt;0,'ن-فرعي'!D109,"")</f>
        <v>22608001</v>
      </c>
      <c r="C64" s="15" t="str">
        <f>IF('ن-فرعي'!E109&gt;0,'ن-فرعي'!E109,"")</f>
        <v>بدلات الاعتماد العام والخاص</v>
      </c>
      <c r="D64" s="88">
        <f>IF('ن-فرعي'!F109&gt;0,'ن-فرعي'!F109,"")</f>
        <v>90000</v>
      </c>
      <c r="E64" s="88">
        <f>IF('ن-فرعي'!G109&gt;0,'ن-فرعي'!G109,"")</f>
        <v>90000</v>
      </c>
      <c r="F64" s="177">
        <f>IF('ن-فرعي'!H109&gt;0,'ن-فرعي'!H109,"")</f>
        <v>28000</v>
      </c>
      <c r="G64" s="88" t="str">
        <f>IF('ن-فرعي'!I109&gt;0,'ن-فرعي'!I109,"")</f>
        <v/>
      </c>
      <c r="H64" s="167">
        <f t="shared" si="0"/>
        <v>0.31111111111111112</v>
      </c>
      <c r="I64" s="168">
        <f t="shared" si="1"/>
        <v>7.8378680998768334E-4</v>
      </c>
    </row>
    <row r="65" spans="2:9" x14ac:dyDescent="0.2">
      <c r="B65" s="180">
        <f>IF('ن-فرعي'!D112&gt;0,'ن-فرعي'!D112,"")</f>
        <v>22609001</v>
      </c>
      <c r="C65" s="15" t="str">
        <f>IF('ن-فرعي'!E112&gt;0,'ن-فرعي'!E112,"")</f>
        <v>مساهمة الجامعة في تطوير مكتب الإرشاد الوظيفي ومتابعة الخريجين</v>
      </c>
      <c r="D65" s="88">
        <f>IF('ن-فرعي'!F112&gt;0,'ن-فرعي'!F112,"")</f>
        <v>5000</v>
      </c>
      <c r="E65" s="88">
        <f>IF('ن-فرعي'!G112&gt;0,'ن-فرعي'!G112,"")</f>
        <v>5000</v>
      </c>
      <c r="F65" s="177">
        <f>IF('ن-فرعي'!H112&gt;0,'ن-فرعي'!H112,"")</f>
        <v>520</v>
      </c>
      <c r="G65" s="88" t="str">
        <f>IF('ن-فرعي'!I112&gt;0,'ن-فرعي'!I112,"")</f>
        <v/>
      </c>
      <c r="H65" s="167">
        <f t="shared" si="0"/>
        <v>0.104</v>
      </c>
      <c r="I65" s="168">
        <f t="shared" si="1"/>
        <v>1.4556040756914119E-5</v>
      </c>
    </row>
    <row r="66" spans="2:9" x14ac:dyDescent="0.2">
      <c r="B66" s="341" t="str">
        <f>'ن-فرعي'!B114</f>
        <v>مجموع الفصل الرابع: دعم الصناديق والخدمات والنشاطات الطلابية</v>
      </c>
      <c r="C66" s="341"/>
      <c r="D66" s="57">
        <f>SUM(D53:D65)</f>
        <v>431000</v>
      </c>
      <c r="E66" s="57">
        <f>SUM(E53:E65)</f>
        <v>431000</v>
      </c>
      <c r="F66" s="57">
        <f>SUM(F53:F65)</f>
        <v>89217.076000000001</v>
      </c>
      <c r="G66" s="57">
        <f>SUM(G53:G65)</f>
        <v>20395.75</v>
      </c>
      <c r="H66" s="167">
        <f t="shared" si="0"/>
        <v>0.20700017633410672</v>
      </c>
      <c r="I66" s="168">
        <f t="shared" si="1"/>
        <v>2.4973988355167396E-3</v>
      </c>
    </row>
    <row r="67" spans="2:9" x14ac:dyDescent="0.2">
      <c r="B67" s="334" t="str">
        <f>'ن-فرعي'!B115:I115</f>
        <v>الفصل الخامس: النفقات العامة المشتركة</v>
      </c>
      <c r="C67" s="334"/>
      <c r="D67" s="334"/>
      <c r="E67" s="334"/>
      <c r="F67" s="334"/>
      <c r="G67" s="334"/>
      <c r="H67" s="334"/>
      <c r="I67" s="334"/>
    </row>
    <row r="68" spans="2:9" x14ac:dyDescent="0.2">
      <c r="B68" s="180">
        <f>IF('ن-فرعي'!D117&gt;0,'ن-فرعي'!D117,"")</f>
        <v>23601001</v>
      </c>
      <c r="C68" s="16" t="str">
        <f>IF('ن-فرعي'!E117&gt;0,'ن-فرعي'!E117,"")</f>
        <v>مياه</v>
      </c>
      <c r="D68" s="88">
        <f>IF('ن-فرعي'!F117&gt;0,'ن-فرعي'!F117,"")</f>
        <v>200000</v>
      </c>
      <c r="E68" s="88">
        <f>IF('ن-فرعي'!G117&gt;0,'ن-فرعي'!G117,"")</f>
        <v>200000</v>
      </c>
      <c r="F68" s="177">
        <f>IF('ن-فرعي'!H117&gt;0,'ن-فرعي'!H117,"")</f>
        <v>91329.254000000001</v>
      </c>
      <c r="G68" s="88" t="str">
        <f>IF('ن-فرعي'!I117&gt;0,'ن-فرعي'!I117,"")</f>
        <v/>
      </c>
      <c r="H68" s="167">
        <f t="shared" si="0"/>
        <v>0.45664627000000002</v>
      </c>
      <c r="I68" s="168">
        <f t="shared" si="1"/>
        <v>2.5565237375433881E-3</v>
      </c>
    </row>
    <row r="69" spans="2:9" x14ac:dyDescent="0.2">
      <c r="B69" s="180">
        <f>IF('ن-فرعي'!D118&gt;0,'ن-فرعي'!D118,"")</f>
        <v>23601002</v>
      </c>
      <c r="C69" s="16" t="str">
        <f>IF('ن-فرعي'!E118&gt;0,'ن-فرعي'!E118,"")</f>
        <v>كهرباء</v>
      </c>
      <c r="D69" s="88">
        <f>IF('ن-فرعي'!F118&gt;0,'ن-فرعي'!F118,"")</f>
        <v>150000</v>
      </c>
      <c r="E69" s="88">
        <f>IF('ن-فرعي'!G118&gt;0,'ن-فرعي'!G118,"")</f>
        <v>340000</v>
      </c>
      <c r="F69" s="177">
        <f>IF('ن-فرعي'!H118&gt;0,'ن-فرعي'!H118,"")</f>
        <v>194327.427</v>
      </c>
      <c r="G69" s="88" t="str">
        <f>IF('ن-فرعي'!I118&gt;0,'ن-فرعي'!I118,"")</f>
        <v/>
      </c>
      <c r="H69" s="167">
        <f t="shared" si="0"/>
        <v>0.57155125588235289</v>
      </c>
      <c r="I69" s="168">
        <f t="shared" si="1"/>
        <v>5.4396883607658719E-3</v>
      </c>
    </row>
    <row r="70" spans="2:9" x14ac:dyDescent="0.2">
      <c r="B70" s="180">
        <f>IF('ن-فرعي'!D119&gt;0,'ن-فرعي'!D119,"")</f>
        <v>23601003</v>
      </c>
      <c r="C70" s="16" t="str">
        <f>IF('ن-فرعي'!E119&gt;0,'ن-فرعي'!E119,"")</f>
        <v>محروقات</v>
      </c>
      <c r="D70" s="88">
        <f>IF('ن-فرعي'!F119&gt;0,'ن-فرعي'!F119,"")</f>
        <v>500000</v>
      </c>
      <c r="E70" s="88">
        <f>IF('ن-فرعي'!G119&gt;0,'ن-فرعي'!G119,"")</f>
        <v>500000</v>
      </c>
      <c r="F70" s="177" t="str">
        <f>IF('ن-فرعي'!H119&gt;0,'ن-فرعي'!H119,"")</f>
        <v/>
      </c>
      <c r="G70" s="88">
        <f>IF('ن-فرعي'!I119&gt;0,'ن-فرعي'!I119,"")</f>
        <v>499999.62</v>
      </c>
      <c r="H70" s="167" t="str">
        <f t="shared" si="0"/>
        <v/>
      </c>
      <c r="I70" s="168" t="str">
        <f t="shared" si="1"/>
        <v/>
      </c>
    </row>
    <row r="71" spans="2:9" x14ac:dyDescent="0.2">
      <c r="B71" s="180">
        <f>IF('ن-فرعي'!D120&gt;0,'ن-فرعي'!D120,"")</f>
        <v>23601004</v>
      </c>
      <c r="C71" s="16" t="str">
        <f>IF('ن-فرعي'!E120&gt;0,'ن-فرعي'!E120,"")</f>
        <v>غاز</v>
      </c>
      <c r="D71" s="88">
        <f>IF('ن-فرعي'!F120&gt;0,'ن-فرعي'!F120,"")</f>
        <v>15000</v>
      </c>
      <c r="E71" s="88">
        <f>IF('ن-فرعي'!G120&gt;0,'ن-فرعي'!G120,"")</f>
        <v>15000</v>
      </c>
      <c r="F71" s="177">
        <f>IF('ن-فرعي'!H120&gt;0,'ن-فرعي'!H120,"")</f>
        <v>146.56</v>
      </c>
      <c r="G71" s="88">
        <f>IF('ن-فرعي'!I120&gt;0,'ن-فرعي'!I120,"")</f>
        <v>7000</v>
      </c>
      <c r="H71" s="167">
        <f t="shared" ref="H71:H133" si="5">IFERROR(F71/E71,"")</f>
        <v>9.7706666666666671E-3</v>
      </c>
      <c r="I71" s="168">
        <f t="shared" ref="I71:I133" si="6">IFERROR(F71/$E$225,"")</f>
        <v>4.1025641025641027E-6</v>
      </c>
    </row>
    <row r="72" spans="2:9" x14ac:dyDescent="0.2">
      <c r="B72" s="180">
        <f>IF('ن-فرعي'!D121&gt;0,'ن-فرعي'!D121,"")</f>
        <v>23601005</v>
      </c>
      <c r="C72" s="16" t="str">
        <f>IF('ن-فرعي'!E121&gt;0,'ن-فرعي'!E121,"")</f>
        <v>نفايات</v>
      </c>
      <c r="D72" s="88">
        <f>IF('ن-فرعي'!F121&gt;0,'ن-فرعي'!F121,"")</f>
        <v>5000</v>
      </c>
      <c r="E72" s="88">
        <f>IF('ن-فرعي'!G121&gt;0,'ن-فرعي'!G121,"")</f>
        <v>5000</v>
      </c>
      <c r="F72" s="177" t="str">
        <f>IF('ن-فرعي'!H121&gt;0,'ن-فرعي'!H121,"")</f>
        <v/>
      </c>
      <c r="G72" s="88" t="str">
        <f>IF('ن-فرعي'!I121&gt;0,'ن-فرعي'!I121,"")</f>
        <v/>
      </c>
      <c r="H72" s="167" t="str">
        <f t="shared" si="5"/>
        <v/>
      </c>
      <c r="I72" s="168" t="str">
        <f t="shared" si="6"/>
        <v/>
      </c>
    </row>
    <row r="73" spans="2:9" x14ac:dyDescent="0.2">
      <c r="B73" s="180">
        <f>IF('ن-فرعي'!D122&gt;0,'ن-فرعي'!D122,"")</f>
        <v>23601006</v>
      </c>
      <c r="C73" s="16" t="str">
        <f>IF('ن-فرعي'!E122&gt;0,'ن-فرعي'!E122,"")</f>
        <v>بريد</v>
      </c>
      <c r="D73" s="88">
        <f>IF('ن-فرعي'!F122&gt;0,'ن-فرعي'!F122,"")</f>
        <v>10000</v>
      </c>
      <c r="E73" s="88">
        <f>IF('ن-فرعي'!G122&gt;0,'ن-فرعي'!G122,"")</f>
        <v>10000</v>
      </c>
      <c r="F73" s="177">
        <f>IF('ن-فرعي'!H122&gt;0,'ن-فرعي'!H122,"")</f>
        <v>781.3</v>
      </c>
      <c r="G73" s="88" t="str">
        <f>IF('ن-فرعي'!I122&gt;0,'ن-فرعي'!I122,"")</f>
        <v/>
      </c>
      <c r="H73" s="167">
        <f t="shared" si="5"/>
        <v>7.8129999999999991E-2</v>
      </c>
      <c r="I73" s="168">
        <f t="shared" si="6"/>
        <v>2.1870451237263462E-5</v>
      </c>
    </row>
    <row r="74" spans="2:9" x14ac:dyDescent="0.2">
      <c r="B74" s="180">
        <f>IF('ن-فرعي'!D123&gt;0,'ن-فرعي'!D123,"")</f>
        <v>23601007</v>
      </c>
      <c r="C74" s="16" t="str">
        <f>IF('ن-فرعي'!E123&gt;0,'ن-فرعي'!E123,"")</f>
        <v>هاتف</v>
      </c>
      <c r="D74" s="88">
        <f>IF('ن-فرعي'!F123&gt;0,'ن-فرعي'!F123,"")</f>
        <v>20000</v>
      </c>
      <c r="E74" s="88">
        <f>IF('ن-فرعي'!G123&gt;0,'ن-فرعي'!G123,"")</f>
        <v>20000</v>
      </c>
      <c r="F74" s="177">
        <f>IF('ن-فرعي'!H123&gt;0,'ن-فرعي'!H123,"")</f>
        <v>16994.312000000002</v>
      </c>
      <c r="G74" s="88" t="str">
        <f>IF('ن-فرعي'!I123&gt;0,'ن-فرعي'!I123,"")</f>
        <v/>
      </c>
      <c r="H74" s="167">
        <f t="shared" si="5"/>
        <v>0.84971560000000013</v>
      </c>
      <c r="I74" s="168">
        <f t="shared" si="6"/>
        <v>4.7571134251483602E-4</v>
      </c>
    </row>
    <row r="75" spans="2:9" x14ac:dyDescent="0.2">
      <c r="B75" s="180">
        <f>IF('ن-فرعي'!D126&gt;0,'ن-فرعي'!D126,"")</f>
        <v>23602001</v>
      </c>
      <c r="C75" s="16" t="str">
        <f>IF('ن-فرعي'!E126&gt;0,'ن-فرعي'!E126,"")</f>
        <v>تأمين موجودات الجامعة</v>
      </c>
      <c r="D75" s="88">
        <f>IF('ن-فرعي'!F126&gt;0,'ن-فرعي'!F126,"")</f>
        <v>50000</v>
      </c>
      <c r="E75" s="88">
        <f>IF('ن-فرعي'!G126&gt;0,'ن-فرعي'!G126,"")</f>
        <v>10000</v>
      </c>
      <c r="F75" s="177" t="str">
        <f>IF('ن-فرعي'!H126&gt;0,'ن-فرعي'!H126,"")</f>
        <v/>
      </c>
      <c r="G75" s="88" t="str">
        <f>IF('ن-فرعي'!I126&gt;0,'ن-فرعي'!I126,"")</f>
        <v/>
      </c>
      <c r="H75" s="167" t="str">
        <f t="shared" si="5"/>
        <v/>
      </c>
      <c r="I75" s="168" t="str">
        <f t="shared" si="6"/>
        <v/>
      </c>
    </row>
    <row r="76" spans="2:9" x14ac:dyDescent="0.2">
      <c r="B76" s="180">
        <f>IF('ن-فرعي'!D127&gt;0,'ن-فرعي'!D127,"")</f>
        <v>23602002</v>
      </c>
      <c r="C76" s="16" t="str">
        <f>IF('ن-فرعي'!E127&gt;0,'ن-فرعي'!E127,"")</f>
        <v>تأمينات اخرى متفرقة</v>
      </c>
      <c r="D76" s="88">
        <f>IF('ن-فرعي'!F127&gt;0,'ن-فرعي'!F127,"")</f>
        <v>1000</v>
      </c>
      <c r="E76" s="88">
        <f>IF('ن-فرعي'!G127&gt;0,'ن-فرعي'!G127,"")</f>
        <v>1000</v>
      </c>
      <c r="F76" s="177" t="str">
        <f>IF('ن-فرعي'!H127&gt;0,'ن-فرعي'!H127,"")</f>
        <v/>
      </c>
      <c r="G76" s="88" t="str">
        <f>IF('ن-فرعي'!I127&gt;0,'ن-فرعي'!I127,"")</f>
        <v/>
      </c>
      <c r="H76" s="167" t="str">
        <f t="shared" si="5"/>
        <v/>
      </c>
      <c r="I76" s="168" t="str">
        <f t="shared" si="6"/>
        <v/>
      </c>
    </row>
    <row r="77" spans="2:9" x14ac:dyDescent="0.2">
      <c r="B77" s="180">
        <f>IF('ن-فرعي'!D128&gt;0,'ن-فرعي'!D128,"")</f>
        <v>23602003</v>
      </c>
      <c r="C77" s="16" t="str">
        <f>IF('ن-فرعي'!E128&gt;0,'ن-فرعي'!E128,"")</f>
        <v>نفقات الشحن والتخليص</v>
      </c>
      <c r="D77" s="88">
        <f>IF('ن-فرعي'!F128&gt;0,'ن-فرعي'!F128,"")</f>
        <v>5000</v>
      </c>
      <c r="E77" s="88">
        <f>IF('ن-فرعي'!G128&gt;0,'ن-فرعي'!G128,"")</f>
        <v>5000</v>
      </c>
      <c r="F77" s="177">
        <f>IF('ن-فرعي'!H128&gt;0,'ن-فرعي'!H128,"")</f>
        <v>578</v>
      </c>
      <c r="G77" s="88" t="str">
        <f>IF('ن-فرعي'!I128&gt;0,'ن-فرعي'!I128,"")</f>
        <v/>
      </c>
      <c r="H77" s="167">
        <f t="shared" si="5"/>
        <v>0.11559999999999999</v>
      </c>
      <c r="I77" s="168">
        <f t="shared" si="6"/>
        <v>1.6179599149031463E-5</v>
      </c>
    </row>
    <row r="78" spans="2:9" x14ac:dyDescent="0.2">
      <c r="B78" s="180">
        <f>IF('ن-فرعي'!D131&gt;0,'ن-فرعي'!D131,"")</f>
        <v>23603001</v>
      </c>
      <c r="C78" s="16" t="str">
        <f>IF('ن-فرعي'!E131&gt;0,'ن-فرعي'!E131,"")</f>
        <v>نفقات الوفود الرسميه والضيافه والحفلات والفنادق</v>
      </c>
      <c r="D78" s="88">
        <f>IF('ن-فرعي'!F131&gt;0,'ن-فرعي'!F131,"")</f>
        <v>12000</v>
      </c>
      <c r="E78" s="88">
        <f>IF('ن-فرعي'!G131&gt;0,'ن-فرعي'!G131,"")</f>
        <v>12000</v>
      </c>
      <c r="F78" s="177">
        <f>IF('ن-فرعي'!H131&gt;0,'ن-فرعي'!H131,"")</f>
        <v>2140.3789999999999</v>
      </c>
      <c r="G78" s="88" t="str">
        <f>IF('ن-فرعي'!I131&gt;0,'ن-فرعي'!I131,"")</f>
        <v/>
      </c>
      <c r="H78" s="167">
        <f t="shared" si="5"/>
        <v>0.17836491666666665</v>
      </c>
      <c r="I78" s="168">
        <f t="shared" si="6"/>
        <v>5.9914315306236703E-5</v>
      </c>
    </row>
    <row r="79" spans="2:9" x14ac:dyDescent="0.2">
      <c r="B79" s="180">
        <f>IF('ن-فرعي'!D132&gt;0,'ن-فرعي'!D132,"")</f>
        <v>23603002</v>
      </c>
      <c r="C79" s="16" t="str">
        <f>IF('ن-فرعي'!E132&gt;0,'ن-فرعي'!E132,"")</f>
        <v>نفقات الضيافه للكليات والمعاهد والمراكز والدوائر</v>
      </c>
      <c r="D79" s="88">
        <f>IF('ن-فرعي'!F132&gt;0,'ن-فرعي'!F132,"")</f>
        <v>4725</v>
      </c>
      <c r="E79" s="88">
        <f>IF('ن-فرعي'!G132&gt;0,'ن-فرعي'!G132,"")</f>
        <v>4725</v>
      </c>
      <c r="F79" s="177">
        <f>IF('ن-فرعي'!H132&gt;0,'ن-فرعي'!H132,"")</f>
        <v>2331.3200000000002</v>
      </c>
      <c r="G79" s="88" t="str">
        <f>IF('ن-فرعي'!I132&gt;0,'ن-فرعي'!I132,"")</f>
        <v/>
      </c>
      <c r="H79" s="167">
        <f t="shared" si="5"/>
        <v>0.49340105820105823</v>
      </c>
      <c r="I79" s="168">
        <f t="shared" si="6"/>
        <v>6.5259209495017355E-5</v>
      </c>
    </row>
    <row r="80" spans="2:9" x14ac:dyDescent="0.2">
      <c r="B80" s="180">
        <f>IF('ن-فرعي'!D133&gt;0,'ن-فرعي'!D133,"")</f>
        <v>23603004</v>
      </c>
      <c r="C80" s="16" t="str">
        <f>IF('ن-فرعي'!E133&gt;0,'ن-فرعي'!E133,"")</f>
        <v>نفقات ضيافة مجلس الامناء</v>
      </c>
      <c r="D80" s="88">
        <f>IF('ن-فرعي'!F133&gt;0,'ن-فرعي'!F133,"")</f>
        <v>3000</v>
      </c>
      <c r="E80" s="88">
        <f>IF('ن-فرعي'!G133&gt;0,'ن-فرعي'!G133,"")</f>
        <v>3000</v>
      </c>
      <c r="F80" s="177">
        <f>IF('ن-فرعي'!H133&gt;0,'ن-فرعي'!H133,"")</f>
        <v>1043.3900000000001</v>
      </c>
      <c r="G80" s="88" t="str">
        <f>IF('ن-فرعي'!I133&gt;0,'ن-فرعي'!I133,"")</f>
        <v/>
      </c>
      <c r="H80" s="167">
        <f t="shared" si="5"/>
        <v>0.3477966666666667</v>
      </c>
      <c r="I80" s="168">
        <f t="shared" si="6"/>
        <v>2.9206975702608892E-5</v>
      </c>
    </row>
    <row r="81" spans="2:9" x14ac:dyDescent="0.2">
      <c r="B81" s="180">
        <f>IF('ن-فرعي'!D136&gt;0,'ن-فرعي'!D136,"")</f>
        <v>23604001</v>
      </c>
      <c r="C81" s="16" t="str">
        <f>IF('ن-فرعي'!E136&gt;0,'ن-فرعي'!E136,"")</f>
        <v>محروقات وزيوت للآليات والمركبات</v>
      </c>
      <c r="D81" s="88">
        <f>IF('ن-فرعي'!F136&gt;0,'ن-فرعي'!F136,"")</f>
        <v>70000</v>
      </c>
      <c r="E81" s="88">
        <f>IF('ن-فرعي'!G136&gt;0,'ن-فرعي'!G136,"")</f>
        <v>20000</v>
      </c>
      <c r="F81" s="177" t="str">
        <f>IF('ن-فرعي'!H136&gt;0,'ن-فرعي'!H136,"")</f>
        <v/>
      </c>
      <c r="G81" s="88" t="str">
        <f>IF('ن-فرعي'!I136&gt;0,'ن-فرعي'!I136,"")</f>
        <v/>
      </c>
      <c r="H81" s="167" t="str">
        <f t="shared" si="5"/>
        <v/>
      </c>
      <c r="I81" s="168" t="str">
        <f t="shared" si="6"/>
        <v/>
      </c>
    </row>
    <row r="82" spans="2:9" x14ac:dyDescent="0.2">
      <c r="B82" s="180">
        <f>IF('ن-فرعي'!D137&gt;0,'ن-فرعي'!D137,"")</f>
        <v>23604003</v>
      </c>
      <c r="C82" s="16" t="str">
        <f>IF('ن-فرعي'!E137&gt;0,'ن-فرعي'!E137,"")</f>
        <v>قطع غيار وإطارات وصيانة للآليات والمركبات</v>
      </c>
      <c r="D82" s="88">
        <f>IF('ن-فرعي'!F137&gt;0,'ن-فرعي'!F137,"")</f>
        <v>50000</v>
      </c>
      <c r="E82" s="88">
        <f>IF('ن-فرعي'!G137&gt;0,'ن-فرعي'!G137,"")</f>
        <v>10000</v>
      </c>
      <c r="F82" s="177">
        <f>IF('ن-فرعي'!H137&gt;0,'ن-فرعي'!H137,"")</f>
        <v>2310</v>
      </c>
      <c r="G82" s="88" t="str">
        <f>IF('ن-فرعي'!I137&gt;0,'ن-فرعي'!I137,"")</f>
        <v/>
      </c>
      <c r="H82" s="167">
        <f t="shared" si="5"/>
        <v>0.23100000000000001</v>
      </c>
      <c r="I82" s="168">
        <f t="shared" si="6"/>
        <v>6.4662411823983876E-5</v>
      </c>
    </row>
    <row r="83" spans="2:9" x14ac:dyDescent="0.2">
      <c r="B83" s="180">
        <f>IF('ن-فرعي'!D138&gt;0,'ن-فرعي'!D138,"")</f>
        <v>23604004</v>
      </c>
      <c r="C83" s="15" t="str">
        <f>IF('ن-فرعي'!E138&gt;0,'ن-فرعي'!E138,"")</f>
        <v>استئجار آليات ومعدات مختلفة</v>
      </c>
      <c r="D83" s="88">
        <f>IF('ن-فرعي'!F138&gt;0,'ن-فرعي'!F138,"")</f>
        <v>2000</v>
      </c>
      <c r="E83" s="88">
        <f>IF('ن-فرعي'!G138&gt;0,'ن-فرعي'!G138,"")</f>
        <v>2000</v>
      </c>
      <c r="F83" s="177">
        <f>IF('ن-فرعي'!H138&gt;0,'ن-فرعي'!H138,"")</f>
        <v>1081.5</v>
      </c>
      <c r="G83" s="88" t="str">
        <f>IF('ن-فرعي'!I138&gt;0,'ن-فرعي'!I138,"")</f>
        <v/>
      </c>
      <c r="H83" s="167">
        <f t="shared" si="5"/>
        <v>0.54074999999999995</v>
      </c>
      <c r="I83" s="168">
        <f t="shared" si="6"/>
        <v>3.0273765535774271E-5</v>
      </c>
    </row>
    <row r="84" spans="2:9" x14ac:dyDescent="0.2">
      <c r="B84" s="180">
        <f>IF('ن-فرعي'!D141&gt;0,'ن-فرعي'!D141,"")</f>
        <v>23605001</v>
      </c>
      <c r="C84" s="16" t="str">
        <f>IF('ن-فرعي'!E141&gt;0,'ن-فرعي'!E141,"")</f>
        <v>اعلانات</v>
      </c>
      <c r="D84" s="88">
        <f>IF('ن-فرعي'!F141&gt;0,'ن-فرعي'!F141,"")</f>
        <v>10000</v>
      </c>
      <c r="E84" s="88">
        <f>IF('ن-فرعي'!G141&gt;0,'ن-فرعي'!G141,"")</f>
        <v>10000</v>
      </c>
      <c r="F84" s="177">
        <f>IF('ن-فرعي'!H141&gt;0,'ن-فرعي'!H141,"")</f>
        <v>9121.1239999999998</v>
      </c>
      <c r="G84" s="88" t="str">
        <f>IF('ن-فرعي'!I141&gt;0,'ن-فرعي'!I141,"")</f>
        <v/>
      </c>
      <c r="H84" s="167">
        <f t="shared" si="5"/>
        <v>0.91211239999999993</v>
      </c>
      <c r="I84" s="168">
        <f t="shared" si="6"/>
        <v>2.5532202440936065E-4</v>
      </c>
    </row>
    <row r="85" spans="2:9" x14ac:dyDescent="0.2">
      <c r="B85" s="180">
        <f>IF('ن-فرعي'!D142&gt;0,'ن-فرعي'!D142,"")</f>
        <v>23605002</v>
      </c>
      <c r="C85" s="16" t="str">
        <f>IF('ن-فرعي'!E142&gt;0,'ن-فرعي'!E142,"")</f>
        <v>صحف ومجلات ومطبوعات</v>
      </c>
      <c r="D85" s="88">
        <f>IF('ن-فرعي'!F142&gt;0,'ن-فرعي'!F142,"")</f>
        <v>1000</v>
      </c>
      <c r="E85" s="88">
        <f>IF('ن-فرعي'!G142&gt;0,'ن-فرعي'!G142,"")</f>
        <v>1000</v>
      </c>
      <c r="F85" s="177">
        <f>IF('ن-فرعي'!H142&gt;0,'ن-فرعي'!H142,"")</f>
        <v>999.93600000000004</v>
      </c>
      <c r="G85" s="88" t="str">
        <f>IF('ن-فرعي'!I142&gt;0,'ن-فرعي'!I142,"")</f>
        <v/>
      </c>
      <c r="H85" s="167">
        <f t="shared" si="5"/>
        <v>0.99993600000000005</v>
      </c>
      <c r="I85" s="168">
        <f t="shared" si="6"/>
        <v>2.799059455828015E-5</v>
      </c>
    </row>
    <row r="86" spans="2:9" x14ac:dyDescent="0.2">
      <c r="B86" s="180">
        <f>IF('ن-فرعي'!D145&gt;0,'ن-فرعي'!D145,"")</f>
        <v>23606001</v>
      </c>
      <c r="C86" s="16" t="str">
        <f>IF('ن-فرعي'!E145&gt;0,'ن-فرعي'!E145,"")</f>
        <v>رسوم اشتراك في خدمة الانترنت</v>
      </c>
      <c r="D86" s="88">
        <f>IF('ن-فرعي'!F145&gt;0,'ن-فرعي'!F145,"")</f>
        <v>60000</v>
      </c>
      <c r="E86" s="88">
        <f>IF('ن-فرعي'!G145&gt;0,'ن-فرعي'!G145,"")</f>
        <v>60000</v>
      </c>
      <c r="F86" s="177">
        <f>IF('ن-فرعي'!H145&gt;0,'ن-فرعي'!H145,"")</f>
        <v>29543.544000000002</v>
      </c>
      <c r="G86" s="88" t="str">
        <f>IF('ن-فرعي'!I145&gt;0,'ن-فرعي'!I145,"")</f>
        <v/>
      </c>
      <c r="H86" s="167">
        <f t="shared" si="5"/>
        <v>0.49239240000000001</v>
      </c>
      <c r="I86" s="168">
        <f t="shared" si="6"/>
        <v>8.2699428955324158E-4</v>
      </c>
    </row>
    <row r="87" spans="2:9" x14ac:dyDescent="0.2">
      <c r="B87" s="180">
        <f>IF('ن-فرعي'!D146&gt;0,'ن-فرعي'!D146,"")</f>
        <v>23606006</v>
      </c>
      <c r="C87" s="16" t="str">
        <f>IF('ن-فرعي'!E146&gt;0,'ن-فرعي'!E146,"")</f>
        <v>رسوم اشتراكات أخرى متفرقة ومتنوعة..</v>
      </c>
      <c r="D87" s="88">
        <f>IF('ن-فرعي'!F146&gt;0,'ن-فرعي'!F146,"")</f>
        <v>3000</v>
      </c>
      <c r="E87" s="88">
        <f>IF('ن-فرعي'!G146&gt;0,'ن-فرعي'!G146,"")</f>
        <v>3000</v>
      </c>
      <c r="F87" s="177">
        <f>IF('ن-فرعي'!H146&gt;0,'ن-فرعي'!H146,"")</f>
        <v>39.44</v>
      </c>
      <c r="G87" s="88" t="str">
        <f>IF('ن-فرعي'!I146&gt;0,'ن-فرعي'!I146,"")</f>
        <v/>
      </c>
      <c r="H87" s="167">
        <f t="shared" si="5"/>
        <v>1.3146666666666666E-2</v>
      </c>
      <c r="I87" s="168">
        <f t="shared" si="6"/>
        <v>1.1040197066397939E-6</v>
      </c>
    </row>
    <row r="88" spans="2:9" x14ac:dyDescent="0.2">
      <c r="B88" s="180">
        <f>IF('ن-فرعي'!D147&gt;0,'ن-فرعي'!D147,"")</f>
        <v>23606008</v>
      </c>
      <c r="C88" s="16" t="str">
        <f>IF('ن-فرعي'!E147&gt;0,'ن-فرعي'!E147,"")</f>
        <v>رسوم اشتراك في شبكة الجامعات الاردنية</v>
      </c>
      <c r="D88" s="88">
        <f>IF('ن-فرعي'!F147&gt;0,'ن-فرعي'!F147,"")</f>
        <v>20000</v>
      </c>
      <c r="E88" s="88">
        <f>IF('ن-فرعي'!G147&gt;0,'ن-فرعي'!G147,"")</f>
        <v>20000</v>
      </c>
      <c r="F88" s="177">
        <f>IF('ن-فرعي'!H147&gt;0,'ن-فرعي'!H147,"")</f>
        <v>15000</v>
      </c>
      <c r="G88" s="88" t="str">
        <f>IF('ن-فرعي'!I147&gt;0,'ن-فرعي'!I147,"")</f>
        <v/>
      </c>
      <c r="H88" s="167">
        <f t="shared" si="5"/>
        <v>0.75</v>
      </c>
      <c r="I88" s="168">
        <f t="shared" si="6"/>
        <v>4.1988579106483039E-4</v>
      </c>
    </row>
    <row r="89" spans="2:9" x14ac:dyDescent="0.2">
      <c r="B89" s="180">
        <f>IF('ن-فرعي'!D150&gt;0,'ن-فرعي'!D150,"")</f>
        <v>23615001</v>
      </c>
      <c r="C89" s="16" t="str">
        <f>IF('ن-فرعي'!E150&gt;0,'ن-فرعي'!E150,"")</f>
        <v>لوازم ومشتريات ونفقات متنوعة</v>
      </c>
      <c r="D89" s="88">
        <f>IF('ن-فرعي'!F150&gt;0,'ن-فرعي'!F150,"")</f>
        <v>51000</v>
      </c>
      <c r="E89" s="88">
        <f>IF('ن-فرعي'!G150&gt;0,'ن-فرعي'!G150,"")</f>
        <v>51000</v>
      </c>
      <c r="F89" s="177">
        <f>IF('ن-فرعي'!H150&gt;0,'ن-فرعي'!H150,"")</f>
        <v>22373.050999999999</v>
      </c>
      <c r="G89" s="88">
        <f>IF('ن-فرعي'!I150&gt;0,'ن-فرعي'!I150,"")</f>
        <v>7425</v>
      </c>
      <c r="H89" s="167">
        <f t="shared" si="5"/>
        <v>0.43868727450980394</v>
      </c>
      <c r="I89" s="168">
        <f t="shared" si="6"/>
        <v>6.2627508117791956E-4</v>
      </c>
    </row>
    <row r="90" spans="2:9" s="37" customFormat="1" x14ac:dyDescent="0.2">
      <c r="B90" s="180">
        <f>IF('ن-فرعي'!D151&gt;0,'ن-فرعي'!D151,"")</f>
        <v>23615003</v>
      </c>
      <c r="C90" s="43" t="str">
        <f>IF('ن-فرعي'!E151&gt;0,'ن-فرعي'!E151,"")</f>
        <v>ضريبة الدخل</v>
      </c>
      <c r="D90" s="88">
        <f>IF('ن-فرعي'!F151&gt;0,'ن-فرعي'!F151,"")</f>
        <v>75000</v>
      </c>
      <c r="E90" s="88">
        <f>IF('ن-فرعي'!G151&gt;0,'ن-فرعي'!G151,"")</f>
        <v>15000</v>
      </c>
      <c r="F90" s="177">
        <f>IF('ن-فرعي'!H151&gt;0,'ن-فرعي'!H151,"")</f>
        <v>795.79899999999998</v>
      </c>
      <c r="G90" s="88" t="str">
        <f>IF('ن-فرعي'!I151&gt;0,'ن-فرعي'!I151,"")</f>
        <v/>
      </c>
      <c r="H90" s="167">
        <f t="shared" si="5"/>
        <v>5.3053266666666668E-2</v>
      </c>
      <c r="I90" s="168">
        <f t="shared" si="6"/>
        <v>2.227631284290673E-5</v>
      </c>
    </row>
    <row r="91" spans="2:9" x14ac:dyDescent="0.2">
      <c r="B91" s="341" t="str">
        <f>'ن-فرعي'!B153</f>
        <v>مجموع الفصل الخامس: النفقات العامة المشتركة</v>
      </c>
      <c r="C91" s="341"/>
      <c r="D91" s="57">
        <f>SUM(D68:D90)</f>
        <v>1317725</v>
      </c>
      <c r="E91" s="57">
        <f>SUM(E68:E90)</f>
        <v>1317725</v>
      </c>
      <c r="F91" s="57">
        <f>SUM(F68:F90)</f>
        <v>390936.33599999995</v>
      </c>
      <c r="G91" s="57">
        <f>SUM(G68:G90)</f>
        <v>514424.62</v>
      </c>
      <c r="H91" s="167">
        <f t="shared" si="5"/>
        <v>0.29667520613178011</v>
      </c>
      <c r="I91" s="168">
        <f t="shared" si="6"/>
        <v>1.0943240846489753E-2</v>
      </c>
    </row>
    <row r="92" spans="2:9" x14ac:dyDescent="0.2">
      <c r="B92" s="334" t="str">
        <f>'ن-فرعي'!B154:I154</f>
        <v>الفصل السادس: المساهمات</v>
      </c>
      <c r="C92" s="334"/>
      <c r="D92" s="334"/>
      <c r="E92" s="334"/>
      <c r="F92" s="334"/>
      <c r="G92" s="334"/>
      <c r="H92" s="334"/>
      <c r="I92" s="334"/>
    </row>
    <row r="93" spans="2:9" x14ac:dyDescent="0.2">
      <c r="B93" s="180">
        <f>IF('ن-فرعي'!D156&gt;0,'ن-فرعي'!D156,"")</f>
        <v>24601001</v>
      </c>
      <c r="C93" s="16" t="str">
        <f>IF('ن-فرعي'!E156&gt;0,'ن-فرعي'!E156,"")</f>
        <v>مساهمه الجامعه في اتحاد الجامعات العربيه</v>
      </c>
      <c r="D93" s="88">
        <f>IF('ن-فرعي'!F156&gt;0,'ن-فرعي'!F156,"")</f>
        <v>3550</v>
      </c>
      <c r="E93" s="88">
        <f>IF('ن-فرعي'!G156&gt;0,'ن-فرعي'!G156,"")</f>
        <v>3550</v>
      </c>
      <c r="F93" s="177">
        <f>IF('ن-فرعي'!H156&gt;0,'ن-فرعي'!H156,"")</f>
        <v>3540</v>
      </c>
      <c r="G93" s="88" t="str">
        <f>IF('ن-فرعي'!I156&gt;0,'ن-فرعي'!I156,"")</f>
        <v/>
      </c>
      <c r="H93" s="167">
        <f t="shared" si="5"/>
        <v>0.9971830985915493</v>
      </c>
      <c r="I93" s="168">
        <f t="shared" si="6"/>
        <v>9.9093046691299964E-5</v>
      </c>
    </row>
    <row r="94" spans="2:9" x14ac:dyDescent="0.2">
      <c r="B94" s="180">
        <f>IF('ن-فرعي'!D157&gt;0,'ن-فرعي'!D157,"")</f>
        <v>24601002</v>
      </c>
      <c r="C94" s="16" t="str">
        <f>IF('ن-فرعي'!E157&gt;0,'ن-فرعي'!E157,"")</f>
        <v>مساهمه الجامعه في اتحاد الجامعات للعالم الاسلامي</v>
      </c>
      <c r="D94" s="88">
        <f>IF('ن-فرعي'!F157&gt;0,'ن-فرعي'!F157,"")</f>
        <v>2150</v>
      </c>
      <c r="E94" s="88">
        <f>IF('ن-فرعي'!G157&gt;0,'ن-فرعي'!G157,"")</f>
        <v>2150</v>
      </c>
      <c r="F94" s="177" t="str">
        <f>IF('ن-فرعي'!H157&gt;0,'ن-فرعي'!H157,"")</f>
        <v/>
      </c>
      <c r="G94" s="88" t="str">
        <f>IF('ن-فرعي'!I157&gt;0,'ن-فرعي'!I157,"")</f>
        <v/>
      </c>
      <c r="H94" s="167" t="str">
        <f t="shared" si="5"/>
        <v/>
      </c>
      <c r="I94" s="168" t="str">
        <f t="shared" si="6"/>
        <v/>
      </c>
    </row>
    <row r="95" spans="2:9" x14ac:dyDescent="0.2">
      <c r="B95" s="180">
        <f>IF('ن-فرعي'!D158&gt;0,'ن-فرعي'!D158,"")</f>
        <v>24601004</v>
      </c>
      <c r="C95" s="16" t="str">
        <f>IF('ن-فرعي'!E158&gt;0,'ن-فرعي'!E158,"")</f>
        <v>مساهمةاتحادالجامعات العربية/جمعيةكليات الحاسبات والمعلومات</v>
      </c>
      <c r="D95" s="88">
        <f>IF('ن-فرعي'!F158&gt;0,'ن-فرعي'!F158,"")</f>
        <v>400</v>
      </c>
      <c r="E95" s="88">
        <f>IF('ن-فرعي'!G158&gt;0,'ن-فرعي'!G158,"")</f>
        <v>400</v>
      </c>
      <c r="F95" s="177">
        <f>IF('ن-فرعي'!H158&gt;0,'ن-فرعي'!H158,"")</f>
        <v>350</v>
      </c>
      <c r="G95" s="88" t="str">
        <f>IF('ن-فرعي'!I158&gt;0,'ن-فرعي'!I158,"")</f>
        <v/>
      </c>
      <c r="H95" s="167">
        <f t="shared" si="5"/>
        <v>0.875</v>
      </c>
      <c r="I95" s="168">
        <f t="shared" si="6"/>
        <v>9.7973351248460421E-6</v>
      </c>
    </row>
    <row r="96" spans="2:9" x14ac:dyDescent="0.2">
      <c r="B96" s="180">
        <f>IF('ن-فرعي'!D159&gt;0,'ن-فرعي'!D159,"")</f>
        <v>24601006</v>
      </c>
      <c r="C96" s="16" t="str">
        <f>IF('ن-فرعي'!E159&gt;0,'ن-فرعي'!E159,"")</f>
        <v>مساهمة الجامعة في الاتحاد الرياضي للجامعات</v>
      </c>
      <c r="D96" s="88">
        <f>IF('ن-فرعي'!F159&gt;0,'ن-فرعي'!F159,"")</f>
        <v>7000</v>
      </c>
      <c r="E96" s="88">
        <f>IF('ن-فرعي'!G159&gt;0,'ن-فرعي'!G159,"")</f>
        <v>7000</v>
      </c>
      <c r="F96" s="177">
        <f>IF('ن-فرعي'!H159&gt;0,'ن-فرعي'!H159,"")</f>
        <v>7000</v>
      </c>
      <c r="G96" s="88" t="str">
        <f>IF('ن-فرعي'!I159&gt;0,'ن-فرعي'!I159,"")</f>
        <v/>
      </c>
      <c r="H96" s="167">
        <f t="shared" si="5"/>
        <v>1</v>
      </c>
      <c r="I96" s="168">
        <f t="shared" si="6"/>
        <v>1.9594670249692083E-4</v>
      </c>
    </row>
    <row r="97" spans="2:9" x14ac:dyDescent="0.2">
      <c r="B97" s="180">
        <f>IF('ن-فرعي'!D160&gt;0,'ن-فرعي'!D160,"")</f>
        <v>24601007</v>
      </c>
      <c r="C97" s="16" t="str">
        <f>IF('ن-فرعي'!E160&gt;0,'ن-فرعي'!E160,"")</f>
        <v>المساهمة في مقر الامانة لاتحاد الجامعات العربية</v>
      </c>
      <c r="D97" s="88">
        <f>IF('ن-فرعي'!F160&gt;0,'ن-فرعي'!F160,"")</f>
        <v>10000</v>
      </c>
      <c r="E97" s="88">
        <f>IF('ن-فرعي'!G160&gt;0,'ن-فرعي'!G160,"")</f>
        <v>10000</v>
      </c>
      <c r="F97" s="177" t="str">
        <f>IF('ن-فرعي'!H160&gt;0,'ن-فرعي'!H160,"")</f>
        <v/>
      </c>
      <c r="G97" s="88" t="str">
        <f>IF('ن-فرعي'!I160&gt;0,'ن-فرعي'!I160,"")</f>
        <v/>
      </c>
      <c r="H97" s="167" t="str">
        <f t="shared" si="5"/>
        <v/>
      </c>
      <c r="I97" s="168" t="str">
        <f t="shared" si="6"/>
        <v/>
      </c>
    </row>
    <row r="98" spans="2:9" x14ac:dyDescent="0.2">
      <c r="B98" s="180">
        <f>IF('ن-فرعي'!D161&gt;0,'ن-فرعي'!D161,"")</f>
        <v>24601009</v>
      </c>
      <c r="C98" s="16" t="str">
        <f>IF('ن-فرعي'!E161&gt;0,'ن-فرعي'!E161,"")</f>
        <v>جمعية كليات العلوم بالجامعات الأعضاء في اتحاد الجامعات العربية</v>
      </c>
      <c r="D98" s="88">
        <f>IF('ن-فرعي'!F161&gt;0,'ن-فرعي'!F161,"")</f>
        <v>400</v>
      </c>
      <c r="E98" s="88">
        <f>IF('ن-فرعي'!G161&gt;0,'ن-فرعي'!G161,"")</f>
        <v>400</v>
      </c>
      <c r="F98" s="177" t="str">
        <f>IF('ن-فرعي'!H161&gt;0,'ن-فرعي'!H161,"")</f>
        <v/>
      </c>
      <c r="G98" s="88" t="str">
        <f>IF('ن-فرعي'!I161&gt;0,'ن-فرعي'!I161,"")</f>
        <v/>
      </c>
      <c r="H98" s="167" t="str">
        <f t="shared" si="5"/>
        <v/>
      </c>
      <c r="I98" s="168" t="str">
        <f t="shared" si="6"/>
        <v/>
      </c>
    </row>
    <row r="99" spans="2:9" s="37" customFormat="1" x14ac:dyDescent="0.2">
      <c r="B99" s="181">
        <f>IF('ن-فرعي'!D162&gt;0,'ن-فرعي'!D162,"")</f>
        <v>24601010</v>
      </c>
      <c r="C99" s="137" t="str">
        <f>IF('ن-فرعي'!E162&gt;0,'ن-فرعي'!E162,"")</f>
        <v>جمعية كليات الحقوق في الجامعات العربية</v>
      </c>
      <c r="D99" s="97">
        <f>IF('ن-فرعي'!F162&gt;0,'ن-فرعي'!F162,"")</f>
        <v>400</v>
      </c>
      <c r="E99" s="97">
        <f>IF('ن-فرعي'!G162&gt;0,'ن-فرعي'!G162,"")</f>
        <v>400</v>
      </c>
      <c r="F99" s="177">
        <f>IF('ن-فرعي'!H162&gt;0,'ن-فرعي'!H162,"")</f>
        <v>394.52300000000002</v>
      </c>
      <c r="G99" s="97" t="str">
        <f>IF('ن-فرعي'!I162&gt;0,'ن-فرعي'!I162,"")</f>
        <v/>
      </c>
      <c r="H99" s="167">
        <f t="shared" si="5"/>
        <v>0.98630750000000011</v>
      </c>
      <c r="I99" s="168">
        <f t="shared" si="6"/>
        <v>1.1043640129884672E-5</v>
      </c>
    </row>
    <row r="100" spans="2:9" x14ac:dyDescent="0.2">
      <c r="B100" s="181">
        <f>IF('ن-فرعي'!D165&gt;0,'ن-فرعي'!D165,"")</f>
        <v>24602001</v>
      </c>
      <c r="C100" s="16" t="str">
        <f>IF('ن-فرعي'!E165&gt;0,'ن-فرعي'!E165,"")</f>
        <v>مساهمه الجامعه في اتحاد رابطه الجامعات الاسلاميه</v>
      </c>
      <c r="D100" s="88">
        <f>IF('ن-فرعي'!F165&gt;0,'ن-فرعي'!F165,"")</f>
        <v>3600</v>
      </c>
      <c r="E100" s="88">
        <f>IF('ن-فرعي'!G165&gt;0,'ن-فرعي'!G165,"")</f>
        <v>3600</v>
      </c>
      <c r="F100" s="177" t="str">
        <f>IF('ن-فرعي'!H165&gt;0,'ن-فرعي'!H165,"")</f>
        <v/>
      </c>
      <c r="G100" s="88" t="str">
        <f>IF('ن-فرعي'!I165&gt;0,'ن-فرعي'!I165,"")</f>
        <v/>
      </c>
      <c r="H100" s="167" t="str">
        <f t="shared" si="5"/>
        <v/>
      </c>
      <c r="I100" s="168" t="str">
        <f t="shared" si="6"/>
        <v/>
      </c>
    </row>
    <row r="101" spans="2:9" x14ac:dyDescent="0.2">
      <c r="B101" s="180">
        <f>IF('ن-فرعي'!D166&gt;0,'ن-فرعي'!D166,"")</f>
        <v>24602002</v>
      </c>
      <c r="C101" s="16" t="str">
        <f>IF('ن-فرعي'!E166&gt;0,'ن-فرعي'!E166,"")</f>
        <v>مساهمة الجامعة في اتحاد الرابطة الدولية لرؤوساء الجامعات</v>
      </c>
      <c r="D101" s="88">
        <f>IF('ن-فرعي'!F166&gt;0,'ن-فرعي'!F166,"")</f>
        <v>2000</v>
      </c>
      <c r="E101" s="88">
        <f>IF('ن-فرعي'!G166&gt;0,'ن-فرعي'!G166,"")</f>
        <v>2000</v>
      </c>
      <c r="F101" s="177" t="str">
        <f>IF('ن-فرعي'!H166&gt;0,'ن-فرعي'!H166,"")</f>
        <v/>
      </c>
      <c r="G101" s="88" t="str">
        <f>IF('ن-فرعي'!I166&gt;0,'ن-فرعي'!I166,"")</f>
        <v/>
      </c>
      <c r="H101" s="167" t="str">
        <f t="shared" si="5"/>
        <v/>
      </c>
      <c r="I101" s="168" t="str">
        <f t="shared" si="6"/>
        <v/>
      </c>
    </row>
    <row r="102" spans="2:9" x14ac:dyDescent="0.2">
      <c r="B102" s="180">
        <f>IF('ن-فرعي'!D167&gt;0,'ن-فرعي'!D167,"")</f>
        <v>24602004</v>
      </c>
      <c r="C102" s="16" t="str">
        <f>IF('ن-فرعي'!E167&gt;0,'ن-فرعي'!E167,"")</f>
        <v>مساهمة الجامعة في هيئة اعتماد مؤسسات التعليم العالي</v>
      </c>
      <c r="D102" s="88">
        <f>IF('ن-فرعي'!F167&gt;0,'ن-فرعي'!F167,"")</f>
        <v>15000</v>
      </c>
      <c r="E102" s="88">
        <f>IF('ن-فرعي'!G167&gt;0,'ن-فرعي'!G167,"")</f>
        <v>15000</v>
      </c>
      <c r="F102" s="177">
        <f>IF('ن-فرعي'!H167&gt;0,'ن-فرعي'!H167,"")</f>
        <v>15000</v>
      </c>
      <c r="G102" s="88" t="str">
        <f>IF('ن-فرعي'!I167&gt;0,'ن-فرعي'!I167,"")</f>
        <v/>
      </c>
      <c r="H102" s="167">
        <f t="shared" si="5"/>
        <v>1</v>
      </c>
      <c r="I102" s="168">
        <f t="shared" si="6"/>
        <v>4.1988579106483039E-4</v>
      </c>
    </row>
    <row r="103" spans="2:9" x14ac:dyDescent="0.2">
      <c r="B103" s="180">
        <f>IF('ن-فرعي'!D168&gt;0,'ن-فرعي'!D168,"")</f>
        <v>24602007</v>
      </c>
      <c r="C103" s="16" t="str">
        <f>IF('ن-فرعي'!E168&gt;0,'ن-فرعي'!E168,"")</f>
        <v>المجلس العربي لتدريب طلاب الجامعات العربية</v>
      </c>
      <c r="D103" s="88">
        <f>IF('ن-فرعي'!F168&gt;0,'ن-فرعي'!F168,"")</f>
        <v>500</v>
      </c>
      <c r="E103" s="88">
        <f>IF('ن-فرعي'!G168&gt;0,'ن-فرعي'!G168,"")</f>
        <v>500</v>
      </c>
      <c r="F103" s="177" t="str">
        <f>IF('ن-فرعي'!H168&gt;0,'ن-فرعي'!H168,"")</f>
        <v/>
      </c>
      <c r="G103" s="88" t="str">
        <f>IF('ن-فرعي'!I168&gt;0,'ن-فرعي'!I168,"")</f>
        <v/>
      </c>
      <c r="H103" s="167" t="str">
        <f t="shared" si="5"/>
        <v/>
      </c>
      <c r="I103" s="168" t="str">
        <f t="shared" si="6"/>
        <v/>
      </c>
    </row>
    <row r="104" spans="2:9" x14ac:dyDescent="0.2">
      <c r="B104" s="180">
        <f>IF('ن-فرعي'!D171&gt;0,'ن-فرعي'!D171,"")</f>
        <v>24605003</v>
      </c>
      <c r="C104" s="16" t="str">
        <f>IF('ن-فرعي'!E171&gt;0,'ن-فرعي'!E171,"")</f>
        <v>مساهمات اخرى</v>
      </c>
      <c r="D104" s="88">
        <f>IF('ن-فرعي'!F171&gt;0,'ن-فرعي'!F171,"")</f>
        <v>5000</v>
      </c>
      <c r="E104" s="88">
        <f>IF('ن-فرعي'!G171&gt;0,'ن-فرعي'!G171,"")</f>
        <v>5000</v>
      </c>
      <c r="F104" s="177" t="str">
        <f>IF('ن-فرعي'!H171&gt;0,'ن-فرعي'!H171,"")</f>
        <v/>
      </c>
      <c r="G104" s="88" t="str">
        <f>IF('ن-فرعي'!I171&gt;0,'ن-فرعي'!I171,"")</f>
        <v/>
      </c>
      <c r="H104" s="167" t="str">
        <f t="shared" si="5"/>
        <v/>
      </c>
      <c r="I104" s="168" t="str">
        <f t="shared" si="6"/>
        <v/>
      </c>
    </row>
    <row r="105" spans="2:9" x14ac:dyDescent="0.2">
      <c r="B105" s="180">
        <f>IF('ن-فرعي'!D172&gt;0,'ن-فرعي'!D172,"")</f>
        <v>24605007</v>
      </c>
      <c r="C105" s="16" t="str">
        <f>IF('ن-فرعي'!E172&gt;0,'ن-فرعي'!E172,"")</f>
        <v>مساهمة الجامعة في مجلس التمريض الاردني</v>
      </c>
      <c r="D105" s="88">
        <f>IF('ن-فرعي'!F172&gt;0,'ن-فرعي'!F172,"")</f>
        <v>10000</v>
      </c>
      <c r="E105" s="88">
        <f>IF('ن-فرعي'!G172&gt;0,'ن-فرعي'!G172,"")</f>
        <v>10000</v>
      </c>
      <c r="F105" s="177">
        <f>IF('ن-فرعي'!H172&gt;0,'ن-فرعي'!H172,"")</f>
        <v>10000</v>
      </c>
      <c r="G105" s="88" t="str">
        <f>IF('ن-فرعي'!I172&gt;0,'ن-فرعي'!I172,"")</f>
        <v/>
      </c>
      <c r="H105" s="167">
        <f t="shared" si="5"/>
        <v>1</v>
      </c>
      <c r="I105" s="168">
        <f t="shared" si="6"/>
        <v>2.7992386070988689E-4</v>
      </c>
    </row>
    <row r="106" spans="2:9" x14ac:dyDescent="0.2">
      <c r="B106" s="180">
        <f>IF('ن-فرعي'!D173&gt;0,'ن-فرعي'!D173,"")</f>
        <v>24605009</v>
      </c>
      <c r="C106" s="16" t="str">
        <f>IF('ن-فرعي'!E173&gt;0,'ن-فرعي'!E173,"")</f>
        <v>المساهمة في مركز التميز للخدمات المكتبية الجامعية الرسمية</v>
      </c>
      <c r="D106" s="88">
        <f>IF('ن-فرعي'!F173&gt;0,'ن-فرعي'!F173,"")</f>
        <v>25000</v>
      </c>
      <c r="E106" s="88">
        <f>IF('ن-فرعي'!G173&gt;0,'ن-فرعي'!G173,"")</f>
        <v>25000</v>
      </c>
      <c r="F106" s="177">
        <f>IF('ن-فرعي'!H173&gt;0,'ن-فرعي'!H173,"")</f>
        <v>25000</v>
      </c>
      <c r="G106" s="88" t="str">
        <f>IF('ن-فرعي'!I173&gt;0,'ن-فرعي'!I173,"")</f>
        <v/>
      </c>
      <c r="H106" s="167">
        <f t="shared" si="5"/>
        <v>1</v>
      </c>
      <c r="I106" s="168">
        <f t="shared" si="6"/>
        <v>6.9980965177471723E-4</v>
      </c>
    </row>
    <row r="107" spans="2:9" x14ac:dyDescent="0.2">
      <c r="B107" s="180">
        <f>IF('ن-فرعي'!D174&gt;0,'ن-فرعي'!D174,"")</f>
        <v>24605010</v>
      </c>
      <c r="C107" s="16" t="str">
        <f>IF('ن-فرعي'!E174&gt;0,'ن-فرعي'!E174,"")</f>
        <v>المساهمة في دعم نادي العاملين في جامعة آل البيت</v>
      </c>
      <c r="D107" s="88">
        <f>IF('ن-فرعي'!F174&gt;0,'ن-فرعي'!F174,"")</f>
        <v>1500</v>
      </c>
      <c r="E107" s="88">
        <f>IF('ن-فرعي'!G174&gt;0,'ن-فرعي'!G174,"")</f>
        <v>1500</v>
      </c>
      <c r="F107" s="177" t="str">
        <f>IF('ن-فرعي'!H174&gt;0,'ن-فرعي'!H174,"")</f>
        <v/>
      </c>
      <c r="G107" s="88" t="str">
        <f>IF('ن-فرعي'!I174&gt;0,'ن-فرعي'!I174,"")</f>
        <v/>
      </c>
      <c r="H107" s="167" t="str">
        <f t="shared" si="5"/>
        <v/>
      </c>
      <c r="I107" s="168" t="str">
        <f t="shared" si="6"/>
        <v/>
      </c>
    </row>
    <row r="108" spans="2:9" x14ac:dyDescent="0.2">
      <c r="B108" s="180">
        <f>IF('ن-فرعي'!D175&gt;0,'ن-فرعي'!D175,"")</f>
        <v>24605016</v>
      </c>
      <c r="C108" s="16" t="str">
        <f>IF('ن-فرعي'!E175&gt;0,'ن-فرعي'!E175,"")</f>
        <v>المساهمة في منتدى الفكر العربي</v>
      </c>
      <c r="D108" s="88">
        <f>IF('ن-فرعي'!F175&gt;0,'ن-فرعي'!F175,"")</f>
        <v>2000</v>
      </c>
      <c r="E108" s="88">
        <f>IF('ن-فرعي'!G175&gt;0,'ن-فرعي'!G175,"")</f>
        <v>2000</v>
      </c>
      <c r="F108" s="177" t="str">
        <f>IF('ن-فرعي'!H175&gt;0,'ن-فرعي'!H175,"")</f>
        <v/>
      </c>
      <c r="G108" s="88" t="str">
        <f>IF('ن-فرعي'!I175&gt;0,'ن-فرعي'!I175,"")</f>
        <v/>
      </c>
      <c r="H108" s="167" t="str">
        <f t="shared" si="5"/>
        <v/>
      </c>
      <c r="I108" s="168" t="str">
        <f t="shared" si="6"/>
        <v/>
      </c>
    </row>
    <row r="109" spans="2:9" x14ac:dyDescent="0.2">
      <c r="B109" s="180">
        <f>IF('ن-فرعي'!D176&gt;0,'ن-فرعي'!D176,"")</f>
        <v>24605017</v>
      </c>
      <c r="C109" s="16" t="str">
        <f>IF('ن-فرعي'!E176&gt;0,'ن-فرعي'!E176,"")</f>
        <v>المساهمة في الجمعية العلمية لكليات التمريض العربية</v>
      </c>
      <c r="D109" s="88">
        <f>IF('ن-فرعي'!F176&gt;0,'ن-فرعي'!F176,"")</f>
        <v>500</v>
      </c>
      <c r="E109" s="88">
        <f>IF('ن-فرعي'!G176&gt;0,'ن-فرعي'!G176,"")</f>
        <v>500</v>
      </c>
      <c r="F109" s="177" t="str">
        <f>IF('ن-فرعي'!H176&gt;0,'ن-فرعي'!H176,"")</f>
        <v/>
      </c>
      <c r="G109" s="88" t="str">
        <f>IF('ن-فرعي'!I176&gt;0,'ن-فرعي'!I176,"")</f>
        <v/>
      </c>
      <c r="H109" s="167" t="str">
        <f t="shared" si="5"/>
        <v/>
      </c>
      <c r="I109" s="168" t="str">
        <f t="shared" si="6"/>
        <v/>
      </c>
    </row>
    <row r="110" spans="2:9" x14ac:dyDescent="0.2">
      <c r="B110" s="180">
        <f>IF('ن-فرعي'!D177&gt;0,'ن-فرعي'!D177,"")</f>
        <v>24605020</v>
      </c>
      <c r="C110" s="16" t="str">
        <f>IF('ن-فرعي'!E177&gt;0,'ن-فرعي'!E177,"")</f>
        <v>مساهمة الجامعة في المجلس الصحي العالي</v>
      </c>
      <c r="D110" s="88">
        <f>IF('ن-فرعي'!F177&gt;0,'ن-فرعي'!F177,"")</f>
        <v>5000</v>
      </c>
      <c r="E110" s="88">
        <f>IF('ن-فرعي'!G177&gt;0,'ن-فرعي'!G177,"")</f>
        <v>5000</v>
      </c>
      <c r="F110" s="177">
        <f>IF('ن-فرعي'!H177&gt;0,'ن-فرعي'!H177,"")</f>
        <v>5000</v>
      </c>
      <c r="G110" s="88" t="str">
        <f>IF('ن-فرعي'!I177&gt;0,'ن-فرعي'!I177,"")</f>
        <v/>
      </c>
      <c r="H110" s="167">
        <f t="shared" si="5"/>
        <v>1</v>
      </c>
      <c r="I110" s="168">
        <f t="shared" si="6"/>
        <v>1.3996193035494345E-4</v>
      </c>
    </row>
    <row r="111" spans="2:9" x14ac:dyDescent="0.2">
      <c r="B111" s="180">
        <f>IF('ن-فرعي'!D178&gt;0,'ن-فرعي'!D178,"")</f>
        <v>24605021</v>
      </c>
      <c r="C111" s="16" t="str">
        <f>IF('ن-فرعي'!E178&gt;0,'ن-فرعي'!E178,"")</f>
        <v>برنامج عدالة للمعلومات القانونية</v>
      </c>
      <c r="D111" s="88">
        <f>IF('ن-فرعي'!F178&gt;0,'ن-فرعي'!F178,"")</f>
        <v>250</v>
      </c>
      <c r="E111" s="88">
        <f>IF('ن-فرعي'!G178&gt;0,'ن-فرعي'!G178,"")</f>
        <v>250</v>
      </c>
      <c r="F111" s="177" t="str">
        <f>IF('ن-فرعي'!H178&gt;0,'ن-فرعي'!H178,"")</f>
        <v/>
      </c>
      <c r="G111" s="88" t="str">
        <f>IF('ن-فرعي'!I178&gt;0,'ن-فرعي'!I178,"")</f>
        <v/>
      </c>
      <c r="H111" s="167" t="str">
        <f t="shared" si="5"/>
        <v/>
      </c>
      <c r="I111" s="168" t="str">
        <f t="shared" si="6"/>
        <v/>
      </c>
    </row>
    <row r="112" spans="2:9" x14ac:dyDescent="0.2">
      <c r="B112" s="180">
        <f>IF('ن-فرعي'!D179&gt;0,'ن-فرعي'!D179,"")</f>
        <v>24605022</v>
      </c>
      <c r="C112" s="16" t="str">
        <f>IF('ن-فرعي'!E179&gt;0,'ن-فرعي'!E179,"")</f>
        <v>الجمعية الاردنية للبحث العلمي</v>
      </c>
      <c r="D112" s="88">
        <f>IF('ن-فرعي'!F179&gt;0,'ن-فرعي'!F179,"")</f>
        <v>250</v>
      </c>
      <c r="E112" s="88">
        <f>IF('ن-فرعي'!G179&gt;0,'ن-فرعي'!G179,"")</f>
        <v>250</v>
      </c>
      <c r="F112" s="177">
        <f>IF('ن-فرعي'!H179&gt;0,'ن-فرعي'!H179,"")</f>
        <v>250</v>
      </c>
      <c r="G112" s="88" t="str">
        <f>IF('ن-فرعي'!I179&gt;0,'ن-فرعي'!I179,"")</f>
        <v/>
      </c>
      <c r="H112" s="167">
        <f t="shared" si="5"/>
        <v>1</v>
      </c>
      <c r="I112" s="168">
        <f t="shared" si="6"/>
        <v>6.9980965177471728E-6</v>
      </c>
    </row>
    <row r="113" spans="2:9" x14ac:dyDescent="0.2">
      <c r="B113" s="341" t="str">
        <f>'ن-فرعي'!B181</f>
        <v>مجموع الفصل السادس: المساهمات</v>
      </c>
      <c r="C113" s="341"/>
      <c r="D113" s="57">
        <f>SUM(D93:D112)</f>
        <v>94500</v>
      </c>
      <c r="E113" s="57">
        <f>SUM(E93:E112)</f>
        <v>94500</v>
      </c>
      <c r="F113" s="57">
        <f t="shared" ref="F113:G113" si="7">SUM(F93:F112)</f>
        <v>66534.523000000001</v>
      </c>
      <c r="G113" s="57">
        <f t="shared" si="7"/>
        <v>0</v>
      </c>
      <c r="H113" s="167">
        <f t="shared" si="5"/>
        <v>0.70406902645502645</v>
      </c>
      <c r="I113" s="168">
        <f t="shared" si="6"/>
        <v>1.8624600548650767E-3</v>
      </c>
    </row>
    <row r="114" spans="2:9" x14ac:dyDescent="0.2">
      <c r="B114" s="334" t="str">
        <f>'ن-فرعي'!B182:I182</f>
        <v>الفصل السابع: نفقات التزامات النفقات المتكررة المدورة من سنوات سابقة</v>
      </c>
      <c r="C114" s="334"/>
      <c r="D114" s="334"/>
      <c r="E114" s="334"/>
      <c r="F114" s="334"/>
      <c r="G114" s="334"/>
      <c r="H114" s="334"/>
      <c r="I114" s="334"/>
    </row>
    <row r="115" spans="2:9" x14ac:dyDescent="0.2">
      <c r="B115" s="180">
        <f>IF('ن-فرعي'!D184&gt;0,'ن-فرعي'!D184,"")</f>
        <v>24701001</v>
      </c>
      <c r="C115" s="16" t="str">
        <f>IF('ن-فرعي'!E184&gt;0,'ن-فرعي'!E184,"")</f>
        <v>التزامات نفقات متكررة مدورة / حجوزات من سنوات سابقة</v>
      </c>
      <c r="D115" s="88">
        <f>IF('ن-فرعي'!F184&gt;0,'ن-فرعي'!F184,"")</f>
        <v>1150000</v>
      </c>
      <c r="E115" s="88">
        <f>IF('ن-فرعي'!G184&gt;0,'ن-فرعي'!G184,"")</f>
        <v>1150000</v>
      </c>
      <c r="F115" s="177">
        <f>IF('ن-فرعي'!H184&gt;0,'ن-فرعي'!H184,"")</f>
        <v>502224.00300000003</v>
      </c>
      <c r="G115" s="88">
        <f>IF('ن-فرعي'!I184&gt;0,'ن-فرعي'!I184,"")</f>
        <v>600958.60900000005</v>
      </c>
      <c r="H115" s="167">
        <f t="shared" si="5"/>
        <v>0.4367165243478261</v>
      </c>
      <c r="I115" s="168">
        <f t="shared" si="6"/>
        <v>1.4058448186093383E-2</v>
      </c>
    </row>
    <row r="116" spans="2:9" x14ac:dyDescent="0.2">
      <c r="B116" s="341" t="str">
        <f>'ن-فرعي'!B186</f>
        <v>مجموع الفصل السابع: نفقات التزامات النفقات المتكررة المدورة من سنوات سابقة</v>
      </c>
      <c r="C116" s="341"/>
      <c r="D116" s="57">
        <f>SUM(D115)</f>
        <v>1150000</v>
      </c>
      <c r="E116" s="57">
        <f t="shared" ref="E116:G116" si="8">SUM(E115)</f>
        <v>1150000</v>
      </c>
      <c r="F116" s="57">
        <f t="shared" si="8"/>
        <v>502224.00300000003</v>
      </c>
      <c r="G116" s="57">
        <f t="shared" si="8"/>
        <v>600958.60900000005</v>
      </c>
      <c r="H116" s="167">
        <f t="shared" si="5"/>
        <v>0.4367165243478261</v>
      </c>
      <c r="I116" s="168">
        <f t="shared" si="6"/>
        <v>1.4058448186093383E-2</v>
      </c>
    </row>
    <row r="117" spans="2:9" x14ac:dyDescent="0.2">
      <c r="B117" s="334" t="str">
        <f>'ن-فرعي'!B187:I187</f>
        <v>الفصل الثامن: الفوائد والعمولات المصرفية</v>
      </c>
      <c r="C117" s="334"/>
      <c r="D117" s="334"/>
      <c r="E117" s="334"/>
      <c r="F117" s="334"/>
      <c r="G117" s="334"/>
      <c r="H117" s="334"/>
      <c r="I117" s="334"/>
    </row>
    <row r="118" spans="2:9" x14ac:dyDescent="0.2">
      <c r="B118" s="180">
        <f>IF('ن-فرعي'!D189&gt;0,'ن-فرعي'!D189,"")</f>
        <v>24903001</v>
      </c>
      <c r="C118" s="16" t="str">
        <f>IF('ن-فرعي'!E189&gt;0,'ن-فرعي'!E189,"")</f>
        <v>فوائد وعمولات مصرفية (مدينة)</v>
      </c>
      <c r="D118" s="88">
        <f>IF('ن-فرعي'!F189&gt;0,'ن-فرعي'!F189,"")</f>
        <v>800000</v>
      </c>
      <c r="E118" s="88">
        <f>IF('ن-فرعي'!G189&gt;0,'ن-فرعي'!G189,"")</f>
        <v>800000</v>
      </c>
      <c r="F118" s="177">
        <f>IF('ن-فرعي'!H189&gt;0,'ن-فرعي'!H189,"")</f>
        <v>569621.19700000004</v>
      </c>
      <c r="G118" s="88" t="str">
        <f>IF('ن-فرعي'!I189&gt;0,'ن-فرعي'!I189,"")</f>
        <v/>
      </c>
      <c r="H118" s="167">
        <f t="shared" si="5"/>
        <v>0.71202649625000003</v>
      </c>
      <c r="I118" s="168">
        <f t="shared" si="6"/>
        <v>1.5945056460642707E-2</v>
      </c>
    </row>
    <row r="119" spans="2:9" x14ac:dyDescent="0.2">
      <c r="B119" s="341" t="str">
        <f>'ن-فرعي'!B191</f>
        <v>مجموع الفصل الثامن: الفوائد والعمولات المصرفية</v>
      </c>
      <c r="C119" s="341"/>
      <c r="D119" s="57">
        <f>SUM(D118)</f>
        <v>800000</v>
      </c>
      <c r="E119" s="57">
        <f t="shared" ref="E119:G119" si="9">SUM(E118)</f>
        <v>800000</v>
      </c>
      <c r="F119" s="57">
        <f t="shared" si="9"/>
        <v>569621.19700000004</v>
      </c>
      <c r="G119" s="57">
        <f t="shared" si="9"/>
        <v>0</v>
      </c>
      <c r="H119" s="167">
        <f t="shared" si="5"/>
        <v>0.71202649625000003</v>
      </c>
      <c r="I119" s="168">
        <f t="shared" si="6"/>
        <v>1.5945056460642707E-2</v>
      </c>
    </row>
    <row r="120" spans="2:9" x14ac:dyDescent="0.2">
      <c r="B120" s="334" t="str">
        <f>'ن-فرعي'!B192:I192</f>
        <v>الفصل التاسع: تسديد فوائد القروض</v>
      </c>
      <c r="C120" s="334"/>
      <c r="D120" s="334"/>
      <c r="E120" s="334"/>
      <c r="F120" s="334"/>
      <c r="G120" s="334"/>
      <c r="H120" s="334"/>
      <c r="I120" s="334"/>
    </row>
    <row r="121" spans="2:9" x14ac:dyDescent="0.2">
      <c r="B121" s="180">
        <f>IF('ن-فرعي'!D194&gt;0,'ن-فرعي'!D194,"")</f>
        <v>25002002</v>
      </c>
      <c r="C121" s="16" t="str">
        <f>IF('ن-فرعي'!E194&gt;0,'ن-فرعي'!E194,"")</f>
        <v>تسديد فوائد قرض صندوق الادخار/جامعة ال البيت</v>
      </c>
      <c r="D121" s="88">
        <f>IF('ن-فرعي'!F194&gt;0,'ن-فرعي'!F194,"")</f>
        <v>100000</v>
      </c>
      <c r="E121" s="88">
        <f>IF('ن-فرعي'!G194&gt;0,'ن-فرعي'!G194,"")</f>
        <v>100000</v>
      </c>
      <c r="F121" s="177" t="str">
        <f>IF('ن-فرعي'!H194&gt;0,'ن-فرعي'!H194,"")</f>
        <v/>
      </c>
      <c r="G121" s="88" t="str">
        <f>IF('ن-فرعي'!I194&gt;0,'ن-فرعي'!I194,"")</f>
        <v/>
      </c>
      <c r="H121" s="167" t="str">
        <f t="shared" si="5"/>
        <v/>
      </c>
      <c r="I121" s="168" t="str">
        <f t="shared" si="6"/>
        <v/>
      </c>
    </row>
    <row r="122" spans="2:9" x14ac:dyDescent="0.2">
      <c r="B122" s="341" t="str">
        <f>'ن-فرعي'!B196</f>
        <v>مجموع الفصل التاسع: تسديد فوائد القروض</v>
      </c>
      <c r="C122" s="341"/>
      <c r="D122" s="57">
        <f>SUM(D121:D121)</f>
        <v>100000</v>
      </c>
      <c r="E122" s="57">
        <f>SUM(E121:E121)</f>
        <v>100000</v>
      </c>
      <c r="F122" s="57">
        <f>SUM(F121:F121)</f>
        <v>0</v>
      </c>
      <c r="G122" s="57">
        <f>SUM(G121:G121)</f>
        <v>0</v>
      </c>
      <c r="H122" s="167">
        <f t="shared" si="5"/>
        <v>0</v>
      </c>
      <c r="I122" s="168">
        <f t="shared" si="6"/>
        <v>0</v>
      </c>
    </row>
    <row r="123" spans="2:9" x14ac:dyDescent="0.2">
      <c r="B123" s="339" t="str">
        <f>'ن-فرعي'!B197</f>
        <v>مجموع الباب الأول: النفقات المتكررة</v>
      </c>
      <c r="C123" s="339"/>
      <c r="D123" s="52">
        <f>D24+D31+D51+D66+D91+D113+D116+D119+D122</f>
        <v>31092000</v>
      </c>
      <c r="E123" s="52">
        <f>E24+E31+E51+E66+E91+E113+E116+E119+E122</f>
        <v>31092000</v>
      </c>
      <c r="F123" s="52">
        <f>F24+F31+F51+F66+F91+F113+F116+F119+F122</f>
        <v>25945527.291000005</v>
      </c>
      <c r="G123" s="52">
        <f>G24+G31+G51+G66+G91+G113+G116+G119+G122</f>
        <v>1482083.9550000001</v>
      </c>
      <c r="H123" s="167">
        <f t="shared" si="5"/>
        <v>0.83447598388653044</v>
      </c>
      <c r="I123" s="168">
        <f t="shared" si="6"/>
        <v>0.72627721674504553</v>
      </c>
    </row>
    <row r="124" spans="2:9" ht="14.25" customHeight="1" x14ac:dyDescent="0.2">
      <c r="B124" s="344" t="str">
        <f>'ن-فرعي'!B198:I198</f>
        <v xml:space="preserve">الباب الثاني: نفقات البحث العلمي </v>
      </c>
      <c r="C124" s="344"/>
      <c r="D124" s="344"/>
      <c r="E124" s="344"/>
      <c r="F124" s="344"/>
      <c r="G124" s="344"/>
      <c r="H124" s="344"/>
      <c r="I124" s="344"/>
    </row>
    <row r="125" spans="2:9" x14ac:dyDescent="0.2">
      <c r="B125" s="334" t="str">
        <f>'ن-فرعي'!B199:I199</f>
        <v>الفصل الأول: دعم البحث العلمي ودعم النشر ومكافآت تقييم الأبحات ومراقبة إعداد الرسائل العلمية</v>
      </c>
      <c r="C125" s="334"/>
      <c r="D125" s="334"/>
      <c r="E125" s="334"/>
      <c r="F125" s="334"/>
      <c r="G125" s="334"/>
      <c r="H125" s="334"/>
      <c r="I125" s="334"/>
    </row>
    <row r="126" spans="2:9" x14ac:dyDescent="0.2">
      <c r="B126" s="180">
        <f>IF('ن-فرعي'!D201&gt;0,'ن-فرعي'!D201,"")</f>
        <v>25101001</v>
      </c>
      <c r="C126" s="16" t="str">
        <f>IF('ن-فرعي'!E201&gt;0,'ن-فرعي'!E201,"")</f>
        <v>دعم البحوث العلمية</v>
      </c>
      <c r="D126" s="88">
        <f>IF('ن-فرعي'!F201&gt;0,'ن-فرعي'!F201,"")</f>
        <v>100000</v>
      </c>
      <c r="E126" s="88">
        <f>IF('ن-فرعي'!G201&gt;0,'ن-فرعي'!G201,"")</f>
        <v>10000</v>
      </c>
      <c r="F126" s="177" t="str">
        <f>IF('ن-فرعي'!H201&gt;0,'ن-فرعي'!H201,"")</f>
        <v/>
      </c>
      <c r="G126" s="88">
        <f>IF('ن-فرعي'!I201&gt;0,'ن-فرعي'!I201,"")</f>
        <v>5000</v>
      </c>
      <c r="H126" s="167" t="str">
        <f t="shared" si="5"/>
        <v/>
      </c>
      <c r="I126" s="168" t="str">
        <f t="shared" si="6"/>
        <v/>
      </c>
    </row>
    <row r="127" spans="2:9" x14ac:dyDescent="0.2">
      <c r="B127" s="180">
        <f>IF('ن-فرعي'!D202&gt;0,'ن-فرعي'!D202,"")</f>
        <v>25101002</v>
      </c>
      <c r="C127" s="16" t="str">
        <f>IF('ن-فرعي'!E202&gt;0,'ن-فرعي'!E202,"")</f>
        <v>دعم النشر</v>
      </c>
      <c r="D127" s="88">
        <f>IF('ن-فرعي'!F202&gt;0,'ن-فرعي'!F202,"")</f>
        <v>60000</v>
      </c>
      <c r="E127" s="88">
        <f>IF('ن-فرعي'!G202&gt;0,'ن-فرعي'!G202,"")</f>
        <v>35000</v>
      </c>
      <c r="F127" s="177">
        <f>IF('ن-فرعي'!H202&gt;0,'ن-فرعي'!H202,"")</f>
        <v>20775</v>
      </c>
      <c r="G127" s="88" t="str">
        <f>IF('ن-فرعي'!I202&gt;0,'ن-فرعي'!I202,"")</f>
        <v/>
      </c>
      <c r="H127" s="167">
        <f t="shared" si="5"/>
        <v>0.59357142857142853</v>
      </c>
      <c r="I127" s="168">
        <f t="shared" si="6"/>
        <v>5.8154182062479011E-4</v>
      </c>
    </row>
    <row r="128" spans="2:9" x14ac:dyDescent="0.2">
      <c r="B128" s="180">
        <f>IF('ن-فرعي'!D203&gt;0,'ن-فرعي'!D203,"")</f>
        <v>25101007</v>
      </c>
      <c r="C128" s="16" t="str">
        <f>IF('ن-فرعي'!E203&gt;0,'ن-فرعي'!E203,"")</f>
        <v>رواتب اجازة التفرغ العلمي</v>
      </c>
      <c r="D128" s="88">
        <f>IF('ن-فرعي'!F203&gt;0,'ن-فرعي'!F203,"")</f>
        <v>300000</v>
      </c>
      <c r="E128" s="88">
        <f>IF('ن-فرعي'!G203&gt;0,'ن-فرعي'!G203,"")</f>
        <v>594000</v>
      </c>
      <c r="F128" s="177">
        <f>IF('ن-فرعي'!H203&gt;0,'ن-فرعي'!H203,"")</f>
        <v>593529.59999999998</v>
      </c>
      <c r="G128" s="88" t="str">
        <f>IF('ن-فرعي'!I203&gt;0,'ن-فرعي'!I203,"")</f>
        <v/>
      </c>
      <c r="H128" s="167">
        <f t="shared" si="5"/>
        <v>0.99920808080808077</v>
      </c>
      <c r="I128" s="168">
        <f t="shared" si="6"/>
        <v>1.6614309707759487E-2</v>
      </c>
    </row>
    <row r="129" spans="2:9" x14ac:dyDescent="0.2">
      <c r="B129" s="180">
        <f>IF('ن-فرعي'!D204&gt;0,'ن-فرعي'!D204,"")</f>
        <v>25101008</v>
      </c>
      <c r="C129" s="16" t="str">
        <f>IF('ن-فرعي'!E204&gt;0,'ن-فرعي'!E204,"")</f>
        <v>مناقشات الرسائل العلمية</v>
      </c>
      <c r="D129" s="88">
        <f>IF('ن-فرعي'!F204&gt;0,'ن-فرعي'!F204,"")</f>
        <v>150000</v>
      </c>
      <c r="E129" s="88">
        <f>IF('ن-فرعي'!G204&gt;0,'ن-فرعي'!G204,"")</f>
        <v>133000</v>
      </c>
      <c r="F129" s="177">
        <f>IF('ن-فرعي'!H204&gt;0,'ن-فرعي'!H204,"")</f>
        <v>128943</v>
      </c>
      <c r="G129" s="88" t="str">
        <f>IF('ن-فرعي'!I204&gt;0,'ن-فرعي'!I204,"")</f>
        <v/>
      </c>
      <c r="H129" s="167">
        <f t="shared" si="5"/>
        <v>0.96949624060150374</v>
      </c>
      <c r="I129" s="168">
        <f t="shared" si="6"/>
        <v>3.6094222371514948E-3</v>
      </c>
    </row>
    <row r="130" spans="2:9" x14ac:dyDescent="0.2">
      <c r="B130" s="180">
        <f>IF('ن-فرعي'!D205&gt;0,'ن-فرعي'!D205,"")</f>
        <v>25101009</v>
      </c>
      <c r="C130" s="15" t="str">
        <f>IF('ن-فرعي'!E205&gt;0,'ن-فرعي'!E205,"")</f>
        <v>الإشراف على الرسائل العلمية</v>
      </c>
      <c r="D130" s="88">
        <f>IF('ن-فرعي'!F205&gt;0,'ن-فرعي'!F205,"")</f>
        <v>180000</v>
      </c>
      <c r="E130" s="88">
        <f>IF('ن-فرعي'!G205&gt;0,'ن-فرعي'!G205,"")</f>
        <v>207000</v>
      </c>
      <c r="F130" s="177">
        <f>IF('ن-فرعي'!H205&gt;0,'ن-فرعي'!H205,"")</f>
        <v>205378</v>
      </c>
      <c r="G130" s="88" t="str">
        <f>IF('ن-فرعي'!I205&gt;0,'ن-فرعي'!I205,"")</f>
        <v/>
      </c>
      <c r="H130" s="167">
        <f t="shared" si="5"/>
        <v>0.99216425120772944</v>
      </c>
      <c r="I130" s="168">
        <f t="shared" si="6"/>
        <v>5.7490202664875157E-3</v>
      </c>
    </row>
    <row r="131" spans="2:9" x14ac:dyDescent="0.2">
      <c r="B131" s="180">
        <f>IF('ن-فرعي'!D206&gt;0,'ن-فرعي'!D206,"")</f>
        <v>25101011</v>
      </c>
      <c r="C131" s="16" t="str">
        <f>IF('ن-فرعي'!E206&gt;0,'ن-فرعي'!E206,"")</f>
        <v>مكافآت تقيم الابحاث للترقية</v>
      </c>
      <c r="D131" s="88">
        <f>IF('ن-فرعي'!F206&gt;0,'ن-فرعي'!F206,"")</f>
        <v>30000</v>
      </c>
      <c r="E131" s="88">
        <f>IF('ن-فرعي'!G206&gt;0,'ن-فرعي'!G206,"")</f>
        <v>40000</v>
      </c>
      <c r="F131" s="177">
        <f>IF('ن-فرعي'!H206&gt;0,'ن-فرعي'!H206,"")</f>
        <v>33133.493999999999</v>
      </c>
      <c r="G131" s="88" t="str">
        <f>IF('ن-فرعي'!I206&gt;0,'ن-فرعي'!I206,"")</f>
        <v/>
      </c>
      <c r="H131" s="167">
        <f t="shared" si="5"/>
        <v>0.82833734999999997</v>
      </c>
      <c r="I131" s="168">
        <f t="shared" si="6"/>
        <v>9.274855559287873E-4</v>
      </c>
    </row>
    <row r="132" spans="2:9" s="37" customFormat="1" x14ac:dyDescent="0.2">
      <c r="B132" s="181">
        <f>IF('ن-فرعي'!D209&gt;0,'ن-فرعي'!D209,"")</f>
        <v>25102001</v>
      </c>
      <c r="C132" s="111" t="str">
        <f>IF('ن-فرعي'!E209&gt;0,'ن-فرعي'!E209,"")</f>
        <v>كشف التشابه في الابحاث والرسائل والاطروحات العلمية</v>
      </c>
      <c r="D132" s="97">
        <f>IF('ن-فرعي'!F209&gt;0,'ن-فرعي'!F209,"")</f>
        <v>15000</v>
      </c>
      <c r="E132" s="97">
        <f>IF('ن-فرعي'!G209&gt;0,'ن-فرعي'!G209,"")</f>
        <v>15000</v>
      </c>
      <c r="F132" s="177">
        <f>IF('ن-فرعي'!H209&gt;0,'ن-فرعي'!H209,"")</f>
        <v>4598.7370000000001</v>
      </c>
      <c r="G132" s="97" t="str">
        <f>IF('ن-فرعي'!I209&gt;0,'ن-فرعي'!I209,"")</f>
        <v/>
      </c>
      <c r="H132" s="167">
        <f t="shared" si="5"/>
        <v>0.30658246666666666</v>
      </c>
      <c r="I132" s="168">
        <f t="shared" si="6"/>
        <v>1.2872962154294033E-4</v>
      </c>
    </row>
    <row r="133" spans="2:9" x14ac:dyDescent="0.2">
      <c r="B133" s="341" t="str">
        <f>'ن-فرعي'!B211</f>
        <v>مجموع الفصل الأول: دعم البحث العلمي ودعم النشر ومكافآت تقييم الأبحات ومراقبة إعداد الرسائل العلمية</v>
      </c>
      <c r="C133" s="341"/>
      <c r="D133" s="57">
        <f>SUM(D126:D132)</f>
        <v>835000</v>
      </c>
      <c r="E133" s="57">
        <f>SUM(E126:E132)</f>
        <v>1034000</v>
      </c>
      <c r="F133" s="57">
        <f t="shared" ref="F133:G133" si="10">SUM(F126:F132)</f>
        <v>986357.83099999989</v>
      </c>
      <c r="G133" s="57">
        <f t="shared" si="10"/>
        <v>5000</v>
      </c>
      <c r="H133" s="167">
        <f t="shared" si="5"/>
        <v>0.95392440135396506</v>
      </c>
      <c r="I133" s="168">
        <f t="shared" si="6"/>
        <v>2.7610509209495013E-2</v>
      </c>
    </row>
    <row r="134" spans="2:9" x14ac:dyDescent="0.2">
      <c r="B134" s="334" t="str">
        <f>'ن-فرعي'!B212:I212</f>
        <v>الفصل الثاني: دعم بحوث ومنح طلبة الدراسات العليا</v>
      </c>
      <c r="C134" s="334"/>
      <c r="D134" s="334"/>
      <c r="E134" s="334"/>
      <c r="F134" s="334"/>
      <c r="G134" s="334"/>
      <c r="H134" s="334"/>
      <c r="I134" s="334"/>
    </row>
    <row r="135" spans="2:9" x14ac:dyDescent="0.2">
      <c r="B135" s="180">
        <f>IF('ن-فرعي'!D214&gt;0,'ن-فرعي'!D214,"")</f>
        <v>25201004</v>
      </c>
      <c r="C135" s="16" t="str">
        <f>IF('ن-فرعي'!E214&gt;0,'ن-فرعي'!E214,"")</f>
        <v>منح طلبة الدراسات العليا</v>
      </c>
      <c r="D135" s="88">
        <f>IF('ن-فرعي'!F214&gt;0,'ن-فرعي'!F214,"")</f>
        <v>5000</v>
      </c>
      <c r="E135" s="88">
        <f>IF('ن-فرعي'!G214&gt;0,'ن-فرعي'!G214,"")</f>
        <v>5000</v>
      </c>
      <c r="F135" s="177" t="str">
        <f>IF('ن-فرعي'!H214&gt;0,'ن-فرعي'!H214,"")</f>
        <v/>
      </c>
      <c r="G135" s="88" t="str">
        <f>IF('ن-فرعي'!I214&gt;0,'ن-فرعي'!I214,"")</f>
        <v/>
      </c>
      <c r="H135" s="167" t="str">
        <f t="shared" ref="H135:H198" si="11">IFERROR(F135/E135,"")</f>
        <v/>
      </c>
      <c r="I135" s="168" t="str">
        <f t="shared" ref="I135:I198" si="12">IFERROR(F135/$E$225,"")</f>
        <v/>
      </c>
    </row>
    <row r="136" spans="2:9" x14ac:dyDescent="0.2">
      <c r="B136" s="180">
        <f>IF('ن-فرعي'!D215&gt;0,'ن-فرعي'!D215,"")</f>
        <v>25201005</v>
      </c>
      <c r="C136" s="16" t="str">
        <f>IF('ن-فرعي'!E215&gt;0,'ن-فرعي'!E215,"")</f>
        <v>دعم البحوث العلمية لطلبة الدراسات العليا</v>
      </c>
      <c r="D136" s="88">
        <f>IF('ن-فرعي'!F215&gt;0,'ن-فرعي'!F215,"")</f>
        <v>10000</v>
      </c>
      <c r="E136" s="88">
        <f>IF('ن-فرعي'!G215&gt;0,'ن-فرعي'!G215,"")</f>
        <v>10000</v>
      </c>
      <c r="F136" s="177">
        <f>IF('ن-فرعي'!H215&gt;0,'ن-فرعي'!H215,"")</f>
        <v>300</v>
      </c>
      <c r="G136" s="88">
        <f>IF('ن-فرعي'!I215&gt;0,'ن-فرعي'!I215,"")</f>
        <v>600</v>
      </c>
      <c r="H136" s="167">
        <f t="shared" si="11"/>
        <v>0.03</v>
      </c>
      <c r="I136" s="168">
        <f t="shared" si="12"/>
        <v>8.397715821296607E-6</v>
      </c>
    </row>
    <row r="137" spans="2:9" x14ac:dyDescent="0.2">
      <c r="B137" s="341" t="str">
        <f>'ن-فرعي'!B217</f>
        <v>مجموع الفصل الثاني: دعم بحوث ومنح طلبة الدراسات العليا</v>
      </c>
      <c r="C137" s="341"/>
      <c r="D137" s="57">
        <f>SUM(D135:D136)</f>
        <v>15000</v>
      </c>
      <c r="E137" s="57">
        <f>SUM(E135:E136)</f>
        <v>15000</v>
      </c>
      <c r="F137" s="57">
        <f t="shared" ref="F137:G137" si="13">SUM(F135:F136)</f>
        <v>300</v>
      </c>
      <c r="G137" s="57">
        <f t="shared" si="13"/>
        <v>600</v>
      </c>
      <c r="H137" s="167">
        <f t="shared" si="11"/>
        <v>0.02</v>
      </c>
      <c r="I137" s="168">
        <f t="shared" si="12"/>
        <v>8.397715821296607E-6</v>
      </c>
    </row>
    <row r="138" spans="2:9" x14ac:dyDescent="0.2">
      <c r="B138" s="334" t="str">
        <f>'ن-فرعي'!B218:I218</f>
        <v xml:space="preserve">الفصل الثالث: دعم المشاركة في المؤتمرات والندوات العلمية </v>
      </c>
      <c r="C138" s="334"/>
      <c r="D138" s="334"/>
      <c r="E138" s="334"/>
      <c r="F138" s="334"/>
      <c r="G138" s="334"/>
      <c r="H138" s="334"/>
      <c r="I138" s="334"/>
    </row>
    <row r="139" spans="2:9" x14ac:dyDescent="0.2">
      <c r="B139" s="180">
        <f>IF('ن-فرعي'!D220&gt;0,'ن-فرعي'!D220,"")</f>
        <v>25301001</v>
      </c>
      <c r="C139" s="16" t="str">
        <f>IF('ن-فرعي'!E220&gt;0,'ن-فرعي'!E220,"")</f>
        <v>نفقات السفر لحضور المؤتمرات العلمية والندوات</v>
      </c>
      <c r="D139" s="88">
        <f>IF('ن-فرعي'!F220&gt;0,'ن-فرعي'!F220,"")</f>
        <v>100000</v>
      </c>
      <c r="E139" s="88">
        <f>IF('ن-فرعي'!G220&gt;0,'ن-فرعي'!G220,"")</f>
        <v>10000</v>
      </c>
      <c r="F139" s="177">
        <f>IF('ن-فرعي'!H220&gt;0,'ن-فرعي'!H220,"")</f>
        <v>2356.25</v>
      </c>
      <c r="G139" s="88" t="str">
        <f>IF('ن-فرعي'!I220&gt;0,'ن-فرعي'!I220,"")</f>
        <v/>
      </c>
      <c r="H139" s="167">
        <f t="shared" si="11"/>
        <v>0.235625</v>
      </c>
      <c r="I139" s="168">
        <f t="shared" si="12"/>
        <v>6.5957059679767102E-5</v>
      </c>
    </row>
    <row r="140" spans="2:9" x14ac:dyDescent="0.2">
      <c r="B140" s="180">
        <f>IF('ن-فرعي'!D221&gt;0,'ن-فرعي'!D221,"")</f>
        <v>25301002</v>
      </c>
      <c r="C140" s="16" t="str">
        <f>IF('ن-فرعي'!E221&gt;0,'ن-فرعي'!E221,"")</f>
        <v>مؤتمرات داخلية</v>
      </c>
      <c r="D140" s="88">
        <f>IF('ن-فرعي'!F221&gt;0,'ن-فرعي'!F221,"")</f>
        <v>20000</v>
      </c>
      <c r="E140" s="88">
        <f>IF('ن-فرعي'!G221&gt;0,'ن-فرعي'!G221,"")</f>
        <v>20000</v>
      </c>
      <c r="F140" s="177" t="str">
        <f>IF('ن-فرعي'!H221&gt;0,'ن-فرعي'!H221,"")</f>
        <v/>
      </c>
      <c r="G140" s="88" t="str">
        <f>IF('ن-فرعي'!I221&gt;0,'ن-فرعي'!I221,"")</f>
        <v/>
      </c>
      <c r="H140" s="167" t="str">
        <f t="shared" si="11"/>
        <v/>
      </c>
      <c r="I140" s="168" t="str">
        <f t="shared" si="12"/>
        <v/>
      </c>
    </row>
    <row r="141" spans="2:9" x14ac:dyDescent="0.2">
      <c r="B141" s="180">
        <f>IF('ن-فرعي'!D222&gt;0,'ن-فرعي'!D222,"")</f>
        <v>25301003</v>
      </c>
      <c r="C141" s="16" t="str">
        <f>IF('ن-فرعي'!E222&gt;0,'ن-فرعي'!E222,"")</f>
        <v>رسوم اشتراك في المؤتمرات والندوات</v>
      </c>
      <c r="D141" s="88">
        <f>IF('ن-فرعي'!F222&gt;0,'ن-فرعي'!F222,"")</f>
        <v>10000</v>
      </c>
      <c r="E141" s="88">
        <f>IF('ن-فرعي'!G222&gt;0,'ن-فرعي'!G222,"")</f>
        <v>10000</v>
      </c>
      <c r="F141" s="177" t="str">
        <f>IF('ن-فرعي'!H222&gt;0,'ن-فرعي'!H222,"")</f>
        <v/>
      </c>
      <c r="G141" s="88" t="str">
        <f>IF('ن-فرعي'!I222&gt;0,'ن-فرعي'!I222,"")</f>
        <v/>
      </c>
      <c r="H141" s="167" t="str">
        <f t="shared" si="11"/>
        <v/>
      </c>
      <c r="I141" s="168" t="str">
        <f t="shared" si="12"/>
        <v/>
      </c>
    </row>
    <row r="142" spans="2:9" s="37" customFormat="1" x14ac:dyDescent="0.2">
      <c r="B142" s="181">
        <f>IF('ن-فرعي'!D223&gt;0,'ن-فرعي'!D223,"")</f>
        <v>25301004</v>
      </c>
      <c r="C142" s="137" t="str">
        <f>IF('ن-فرعي'!E223&gt;0,'ن-فرعي'!E223,"")</f>
        <v>المشاركة في المعارض التعليمية مع الجامعات الاردنية</v>
      </c>
      <c r="D142" s="97">
        <f>IF('ن-فرعي'!F223&gt;0,'ن-فرعي'!F223,"")</f>
        <v>1000</v>
      </c>
      <c r="E142" s="97">
        <f>IF('ن-فرعي'!G223&gt;0,'ن-فرعي'!G223,"")</f>
        <v>1000</v>
      </c>
      <c r="F142" s="177" t="str">
        <f>IF('ن-فرعي'!H223&gt;0,'ن-فرعي'!H223,"")</f>
        <v/>
      </c>
      <c r="G142" s="97" t="str">
        <f>IF('ن-فرعي'!I223&gt;0,'ن-فرعي'!I223,"")</f>
        <v/>
      </c>
      <c r="H142" s="167" t="str">
        <f t="shared" si="11"/>
        <v/>
      </c>
      <c r="I142" s="168" t="str">
        <f t="shared" si="12"/>
        <v/>
      </c>
    </row>
    <row r="143" spans="2:9" x14ac:dyDescent="0.2">
      <c r="B143" s="341" t="str">
        <f>'ن-فرعي'!B225</f>
        <v xml:space="preserve">مجموع الفصل الثالث: دعم المشاركة في المؤتمرات والندوات العلمية </v>
      </c>
      <c r="C143" s="341"/>
      <c r="D143" s="57">
        <f>SUM(D139:D142)</f>
        <v>131000</v>
      </c>
      <c r="E143" s="57">
        <f>SUM(E139:E142)</f>
        <v>41000</v>
      </c>
      <c r="F143" s="57">
        <f t="shared" ref="F143:G143" si="14">SUM(F139:F142)</f>
        <v>2356.25</v>
      </c>
      <c r="G143" s="57">
        <f t="shared" si="14"/>
        <v>0</v>
      </c>
      <c r="H143" s="167">
        <f t="shared" si="11"/>
        <v>5.7469512195121954E-2</v>
      </c>
      <c r="I143" s="168">
        <f t="shared" si="12"/>
        <v>6.5957059679767102E-5</v>
      </c>
    </row>
    <row r="144" spans="2:9" x14ac:dyDescent="0.2">
      <c r="B144" s="334" t="str">
        <f>'ن-فرعي'!B226:I226</f>
        <v>الفصل الرابع: المجلات والمطبوعات العلمية والثقافية</v>
      </c>
      <c r="C144" s="334"/>
      <c r="D144" s="334"/>
      <c r="E144" s="334"/>
      <c r="F144" s="334"/>
      <c r="G144" s="334"/>
      <c r="H144" s="334"/>
      <c r="I144" s="334"/>
    </row>
    <row r="145" spans="2:9" x14ac:dyDescent="0.2">
      <c r="B145" s="180">
        <f>IF('ن-فرعي'!D228&gt;0,'ن-فرعي'!D228,"")</f>
        <v>25401001</v>
      </c>
      <c r="C145" s="16" t="str">
        <f>IF('ن-فرعي'!E228&gt;0,'ن-فرعي'!E228,"")</f>
        <v xml:space="preserve">مجلة المنارة </v>
      </c>
      <c r="D145" s="88">
        <f>IF('ن-فرعي'!F228&gt;0,'ن-فرعي'!F228,"")</f>
        <v>20000</v>
      </c>
      <c r="E145" s="88">
        <f>IF('ن-فرعي'!G228&gt;0,'ن-فرعي'!G228,"")</f>
        <v>20000</v>
      </c>
      <c r="F145" s="177">
        <f>IF('ن-فرعي'!H228&gt;0,'ن-فرعي'!H228,"")</f>
        <v>6750</v>
      </c>
      <c r="G145" s="88" t="str">
        <f>IF('ن-فرعي'!I228&gt;0,'ن-فرعي'!I228,"")</f>
        <v/>
      </c>
      <c r="H145" s="167">
        <f t="shared" si="11"/>
        <v>0.33750000000000002</v>
      </c>
      <c r="I145" s="168">
        <f t="shared" si="12"/>
        <v>1.8894860597917367E-4</v>
      </c>
    </row>
    <row r="146" spans="2:9" x14ac:dyDescent="0.2">
      <c r="B146" s="180">
        <f>IF('ن-فرعي'!D229&gt;0,'ن-فرعي'!D229,"")</f>
        <v>25401002</v>
      </c>
      <c r="C146" s="16" t="str">
        <f>IF('ن-فرعي'!E229&gt;0,'ن-فرعي'!E229,"")</f>
        <v>مجلة البيان</v>
      </c>
      <c r="D146" s="88">
        <f>IF('ن-فرعي'!F229&gt;0,'ن-فرعي'!F229,"")</f>
        <v>1000</v>
      </c>
      <c r="E146" s="88">
        <f>IF('ن-فرعي'!G229&gt;0,'ن-فرعي'!G229,"")</f>
        <v>1000</v>
      </c>
      <c r="F146" s="177" t="str">
        <f>IF('ن-فرعي'!H229&gt;0,'ن-فرعي'!H229,"")</f>
        <v/>
      </c>
      <c r="G146" s="88" t="str">
        <f>IF('ن-فرعي'!I229&gt;0,'ن-فرعي'!I229,"")</f>
        <v/>
      </c>
      <c r="H146" s="167" t="str">
        <f t="shared" si="11"/>
        <v/>
      </c>
      <c r="I146" s="168" t="str">
        <f t="shared" si="12"/>
        <v/>
      </c>
    </row>
    <row r="147" spans="2:9" x14ac:dyDescent="0.2">
      <c r="B147" s="180">
        <f>IF('ن-فرعي'!D230&gt;0,'ن-فرعي'!D230,"")</f>
        <v>25401003</v>
      </c>
      <c r="C147" s="16" t="str">
        <f>IF('ن-فرعي'!E230&gt;0,'ن-فرعي'!E230,"")</f>
        <v>طباعة بحوث الموسم الثقافي</v>
      </c>
      <c r="D147" s="88">
        <f>IF('ن-فرعي'!F230&gt;0,'ن-فرعي'!F230,"")</f>
        <v>1000</v>
      </c>
      <c r="E147" s="88">
        <f>IF('ن-فرعي'!G230&gt;0,'ن-فرعي'!G230,"")</f>
        <v>1000</v>
      </c>
      <c r="F147" s="177" t="str">
        <f>IF('ن-فرعي'!H230&gt;0,'ن-فرعي'!H230,"")</f>
        <v/>
      </c>
      <c r="G147" s="88" t="str">
        <f>IF('ن-فرعي'!I230&gt;0,'ن-فرعي'!I230,"")</f>
        <v/>
      </c>
      <c r="H147" s="167" t="str">
        <f t="shared" si="11"/>
        <v/>
      </c>
      <c r="I147" s="168" t="str">
        <f t="shared" si="12"/>
        <v/>
      </c>
    </row>
    <row r="148" spans="2:9" x14ac:dyDescent="0.2">
      <c r="B148" s="180">
        <f>IF('ن-فرعي'!D231&gt;0,'ن-فرعي'!D231,"")</f>
        <v>25401005</v>
      </c>
      <c r="C148" s="16" t="str">
        <f>IF('ن-فرعي'!E231&gt;0,'ن-فرعي'!E231,"")</f>
        <v>المجلة الاردنية للدراسات الاسلامية</v>
      </c>
      <c r="D148" s="88">
        <f>IF('ن-فرعي'!F231&gt;0,'ن-فرعي'!F231,"")</f>
        <v>25000</v>
      </c>
      <c r="E148" s="88">
        <f>IF('ن-فرعي'!G231&gt;0,'ن-فرعي'!G231,"")</f>
        <v>25000</v>
      </c>
      <c r="F148" s="177">
        <f>IF('ن-فرعي'!H231&gt;0,'ن-فرعي'!H231,"")</f>
        <v>18495</v>
      </c>
      <c r="G148" s="88" t="str">
        <f>IF('ن-فرعي'!I231&gt;0,'ن-فرعي'!I231,"")</f>
        <v/>
      </c>
      <c r="H148" s="167">
        <f t="shared" si="11"/>
        <v>0.73980000000000001</v>
      </c>
      <c r="I148" s="168">
        <f t="shared" si="12"/>
        <v>5.1771918038293584E-4</v>
      </c>
    </row>
    <row r="149" spans="2:9" x14ac:dyDescent="0.2">
      <c r="B149" s="180">
        <f>IF('ن-فرعي'!D232&gt;0,'ن-فرعي'!D232,"")</f>
        <v>25401007</v>
      </c>
      <c r="C149" s="16" t="str">
        <f>IF('ن-فرعي'!E232&gt;0,'ن-فرعي'!E232,"")</f>
        <v>مجلة الزهراء</v>
      </c>
      <c r="D149" s="88">
        <f>IF('ن-فرعي'!F232&gt;0,'ن-فرعي'!F232,"")</f>
        <v>500</v>
      </c>
      <c r="E149" s="88">
        <f>IF('ن-فرعي'!G232&gt;0,'ن-فرعي'!G232,"")</f>
        <v>500</v>
      </c>
      <c r="F149" s="177" t="str">
        <f>IF('ن-فرعي'!H232&gt;0,'ن-فرعي'!H232,"")</f>
        <v/>
      </c>
      <c r="G149" s="88" t="str">
        <f>IF('ن-فرعي'!I232&gt;0,'ن-فرعي'!I232,"")</f>
        <v/>
      </c>
      <c r="H149" s="167" t="str">
        <f t="shared" si="11"/>
        <v/>
      </c>
      <c r="I149" s="168" t="str">
        <f t="shared" si="12"/>
        <v/>
      </c>
    </row>
    <row r="150" spans="2:9" x14ac:dyDescent="0.2">
      <c r="B150" s="341" t="str">
        <f>'ن-فرعي'!B234</f>
        <v>مجموع الفصل الرابع: المجلات والمطبوعات العلمية والثقافية</v>
      </c>
      <c r="C150" s="341"/>
      <c r="D150" s="57">
        <f>SUM(D145:D149)</f>
        <v>47500</v>
      </c>
      <c r="E150" s="57">
        <f>SUM(E145:E149)</f>
        <v>47500</v>
      </c>
      <c r="F150" s="57">
        <f t="shared" ref="F150:G150" si="15">SUM(F145:F149)</f>
        <v>25245</v>
      </c>
      <c r="G150" s="57">
        <f t="shared" si="15"/>
        <v>0</v>
      </c>
      <c r="H150" s="167">
        <f t="shared" si="11"/>
        <v>0.53147368421052632</v>
      </c>
      <c r="I150" s="168">
        <f t="shared" si="12"/>
        <v>7.0666778636210956E-4</v>
      </c>
    </row>
    <row r="151" spans="2:9" x14ac:dyDescent="0.2">
      <c r="B151" s="334" t="str">
        <f>'ن-فرعي'!B235:I235</f>
        <v>الفصل الخامس: نفقات التزامات البحث العلمي المدورة من سنوات سابقة</v>
      </c>
      <c r="C151" s="334"/>
      <c r="D151" s="334"/>
      <c r="E151" s="334"/>
      <c r="F151" s="334"/>
      <c r="G151" s="334"/>
      <c r="H151" s="334"/>
      <c r="I151" s="334"/>
    </row>
    <row r="152" spans="2:9" x14ac:dyDescent="0.2">
      <c r="B152" s="180">
        <f>IF('ن-فرعي'!D237&gt;0,'ن-فرعي'!D237,"")</f>
        <v>25501001</v>
      </c>
      <c r="C152" s="16" t="str">
        <f>IF('ن-فرعي'!E237&gt;0,'ن-فرعي'!E237,"")</f>
        <v>التزامات نفقات بحث علمي مدورة / حجوزات من سنوات سابقة</v>
      </c>
      <c r="D152" s="88">
        <f>IF('ن-فرعي'!F237&gt;0,'ن-فرعي'!F237,"")</f>
        <v>620000</v>
      </c>
      <c r="E152" s="88">
        <f>IF('ن-فرعي'!G237&gt;0,'ن-فرعي'!G237,"")</f>
        <v>511000</v>
      </c>
      <c r="F152" s="177">
        <f>IF('ن-فرعي'!H237&gt;0,'ن-فرعي'!H237,"")</f>
        <v>60778.512999999999</v>
      </c>
      <c r="G152" s="88">
        <f>IF('ن-فرعي'!I237&gt;0,'ن-فرعي'!I237,"")</f>
        <v>423295.62400000001</v>
      </c>
      <c r="H152" s="167">
        <f t="shared" si="11"/>
        <v>0.11894033855185909</v>
      </c>
      <c r="I152" s="168">
        <f t="shared" si="12"/>
        <v>1.7013356007166051E-3</v>
      </c>
    </row>
    <row r="153" spans="2:9" x14ac:dyDescent="0.2">
      <c r="B153" s="341" t="str">
        <f>'ن-فرعي'!B239</f>
        <v>مجموع الفصل الخامس: نفقات التزامات البحث العلمي المدورة من سنوات سابقة</v>
      </c>
      <c r="C153" s="341"/>
      <c r="D153" s="57">
        <f>SUM(D152:D152)</f>
        <v>620000</v>
      </c>
      <c r="E153" s="57">
        <f>SUM(E152:E152)</f>
        <v>511000</v>
      </c>
      <c r="F153" s="57">
        <f t="shared" ref="F153:G153" si="16">SUM(F152:F152)</f>
        <v>60778.512999999999</v>
      </c>
      <c r="G153" s="57">
        <f t="shared" si="16"/>
        <v>423295.62400000001</v>
      </c>
      <c r="H153" s="167">
        <f t="shared" si="11"/>
        <v>0.11894033855185909</v>
      </c>
      <c r="I153" s="168">
        <f t="shared" si="12"/>
        <v>1.7013356007166051E-3</v>
      </c>
    </row>
    <row r="154" spans="2:9" x14ac:dyDescent="0.2">
      <c r="B154" s="334" t="str">
        <f>'ن-فرعي'!B240:I240</f>
        <v>الفصل السادس: أجهزة وتجهيزات وحواسيب للتدريس والبحث العلمي</v>
      </c>
      <c r="C154" s="334"/>
      <c r="D154" s="334"/>
      <c r="E154" s="334"/>
      <c r="F154" s="334"/>
      <c r="G154" s="334"/>
      <c r="H154" s="334"/>
      <c r="I154" s="334"/>
    </row>
    <row r="155" spans="2:9" x14ac:dyDescent="0.2">
      <c r="B155" s="180">
        <f>IF('ن-فرعي'!D242&gt;0,'ن-فرعي'!D242,"")</f>
        <v>25601001</v>
      </c>
      <c r="C155" s="16" t="str">
        <f>IF('ن-فرعي'!E242&gt;0,'ن-فرعي'!E242,"")</f>
        <v>اجهزه وتجهيزات وحواسيب وبرمجيات للتدريس والبحث العلمي (المختبرات)</v>
      </c>
      <c r="D155" s="88">
        <f>IF('ن-فرعي'!F242&gt;0,'ن-فرعي'!F242,"")</f>
        <v>240000</v>
      </c>
      <c r="E155" s="88">
        <f>IF('ن-فرعي'!G242&gt;0,'ن-فرعي'!G242,"")</f>
        <v>240000</v>
      </c>
      <c r="F155" s="177">
        <f>IF('ن-فرعي'!H242&gt;0,'ن-فرعي'!H242,"")</f>
        <v>4486.6549999999997</v>
      </c>
      <c r="G155" s="88">
        <f>IF('ن-فرعي'!I242&gt;0,'ن-فرعي'!I242,"")</f>
        <v>37513.345000000001</v>
      </c>
      <c r="H155" s="167">
        <f t="shared" si="11"/>
        <v>1.8694395833333332E-2</v>
      </c>
      <c r="I155" s="168">
        <f t="shared" si="12"/>
        <v>1.2559217892733175E-4</v>
      </c>
    </row>
    <row r="156" spans="2:9" s="37" customFormat="1" x14ac:dyDescent="0.2">
      <c r="B156" s="180">
        <f>IF('ن-فرعي'!D243&gt;0,'ن-فرعي'!D243,"")</f>
        <v>25601004</v>
      </c>
      <c r="C156" s="16" t="str">
        <f>IF('ن-فرعي'!E243&gt;0,'ن-فرعي'!E243,"")</f>
        <v>أجهزة وتجهيزات خاصة بالقاعات التدريسية</v>
      </c>
      <c r="D156" s="88">
        <f>IF('ن-فرعي'!F243&gt;0,'ن-فرعي'!F243,"")</f>
        <v>4000</v>
      </c>
      <c r="E156" s="88">
        <f>IF('ن-فرعي'!G243&gt;0,'ن-فرعي'!G243,"")</f>
        <v>4000</v>
      </c>
      <c r="F156" s="177" t="str">
        <f>IF('ن-فرعي'!H243&gt;0,'ن-فرعي'!H243,"")</f>
        <v/>
      </c>
      <c r="G156" s="88" t="str">
        <f>IF('ن-فرعي'!I243&gt;0,'ن-فرعي'!I243,"")</f>
        <v/>
      </c>
      <c r="H156" s="167" t="str">
        <f t="shared" si="11"/>
        <v/>
      </c>
      <c r="I156" s="168" t="str">
        <f t="shared" si="12"/>
        <v/>
      </c>
    </row>
    <row r="157" spans="2:9" x14ac:dyDescent="0.2">
      <c r="B157" s="180">
        <f>IF('ن-فرعي'!D246&gt;0,'ن-فرعي'!D246,"")</f>
        <v>25602001</v>
      </c>
      <c r="C157" s="16" t="str">
        <f>IF('ن-فرعي'!E246&gt;0,'ن-فرعي'!E246,"")</f>
        <v>نفقات البحث والتدريس (مواد بحثية وتعليمية، زجاجيات، كيماويات)</v>
      </c>
      <c r="D157" s="88">
        <f>IF('ن-فرعي'!F246&gt;0,'ن-فرعي'!F246,"")</f>
        <v>124000</v>
      </c>
      <c r="E157" s="88">
        <f>IF('ن-فرعي'!G246&gt;0,'ن-فرعي'!G246,"")</f>
        <v>124000</v>
      </c>
      <c r="F157" s="177">
        <f>IF('ن-فرعي'!H246&gt;0,'ن-فرعي'!H246,"")</f>
        <v>16878.309999999998</v>
      </c>
      <c r="G157" s="88">
        <f>IF('ن-فرعي'!I246&gt;0,'ن-فرعي'!I246,"")</f>
        <v>10343.120000000001</v>
      </c>
      <c r="H157" s="167">
        <f t="shared" si="11"/>
        <v>0.13611540322580643</v>
      </c>
      <c r="I157" s="168">
        <f t="shared" si="12"/>
        <v>4.7246416974582907E-4</v>
      </c>
    </row>
    <row r="158" spans="2:9" x14ac:dyDescent="0.2">
      <c r="B158" s="180">
        <f>IF('ن-فرعي'!D249&gt;0,'ن-فرعي'!D249,"")</f>
        <v>25603001</v>
      </c>
      <c r="C158" s="15" t="str">
        <f>IF('ن-فرعي'!E249&gt;0,'ن-فرعي'!E249,"")</f>
        <v xml:space="preserve">صيانة وعقود صيانة أجهزة المختبرات العلمية  </v>
      </c>
      <c r="D158" s="88">
        <f>IF('ن-فرعي'!F249&gt;0,'ن-فرعي'!F249,"")</f>
        <v>77000</v>
      </c>
      <c r="E158" s="88">
        <f>IF('ن-فرعي'!G249&gt;0,'ن-فرعي'!G249,"")</f>
        <v>77000</v>
      </c>
      <c r="F158" s="177">
        <f>IF('ن-فرعي'!H249&gt;0,'ن-فرعي'!H249,"")</f>
        <v>3999.6790000000001</v>
      </c>
      <c r="G158" s="88">
        <f>IF('ن-فرعي'!I249&gt;0,'ن-فرعي'!I249,"")</f>
        <v>12645</v>
      </c>
      <c r="H158" s="167">
        <f t="shared" si="11"/>
        <v>5.1943883116883117E-2</v>
      </c>
      <c r="I158" s="168">
        <f t="shared" si="12"/>
        <v>1.1196055872802598E-4</v>
      </c>
    </row>
    <row r="159" spans="2:9" x14ac:dyDescent="0.2">
      <c r="B159" s="341" t="str">
        <f>'ن-فرعي'!B251</f>
        <v>مجموع الفصل السادس: أجهزة وتجهيزات وحواسيب للتدريس والبحث العلمي</v>
      </c>
      <c r="C159" s="341"/>
      <c r="D159" s="57">
        <f>SUM(D155:D158)</f>
        <v>445000</v>
      </c>
      <c r="E159" s="57">
        <f>SUM(E155:E158)</f>
        <v>445000</v>
      </c>
      <c r="F159" s="57">
        <f>SUM(F155:F158)</f>
        <v>25364.643999999997</v>
      </c>
      <c r="G159" s="57">
        <f>SUM(G155:G158)</f>
        <v>60501.465000000004</v>
      </c>
      <c r="H159" s="167">
        <f t="shared" si="11"/>
        <v>5.6999199999999993E-2</v>
      </c>
      <c r="I159" s="168">
        <f t="shared" si="12"/>
        <v>7.100169074011868E-4</v>
      </c>
    </row>
    <row r="160" spans="2:9" x14ac:dyDescent="0.2">
      <c r="B160" s="334" t="str">
        <f>'ن-فرعي'!B252:I252</f>
        <v>الفصل السابع: الكتب والدوريات الورقية والالكترونية</v>
      </c>
      <c r="C160" s="334"/>
      <c r="D160" s="334"/>
      <c r="E160" s="334"/>
      <c r="F160" s="334"/>
      <c r="G160" s="334"/>
      <c r="H160" s="334"/>
      <c r="I160" s="334"/>
    </row>
    <row r="161" spans="2:9" x14ac:dyDescent="0.2">
      <c r="B161" s="180">
        <f>IF('ن-فرعي'!D254&gt;0,'ن-فرعي'!D254,"")</f>
        <v>25701001</v>
      </c>
      <c r="C161" s="16" t="str">
        <f>IF('ن-فرعي'!E254&gt;0,'ن-فرعي'!E254,"")</f>
        <v xml:space="preserve">كتب ودوريات وقواعد البيانات الورقية والالكترونية </v>
      </c>
      <c r="D161" s="88">
        <f>IF('ن-فرعي'!F254&gt;0,'ن-فرعي'!F254,"")</f>
        <v>30000</v>
      </c>
      <c r="E161" s="88">
        <f>IF('ن-فرعي'!G254&gt;0,'ن-فرعي'!G254,"")</f>
        <v>30000</v>
      </c>
      <c r="F161" s="177">
        <f>IF('ن-فرعي'!H254&gt;0,'ن-فرعي'!H254,"")</f>
        <v>5249.5649999999996</v>
      </c>
      <c r="G161" s="88">
        <f>IF('ن-فرعي'!I254&gt;0,'ن-فرعي'!I254,"")</f>
        <v>0.435</v>
      </c>
      <c r="H161" s="167">
        <f t="shared" si="11"/>
        <v>0.17498549999999999</v>
      </c>
      <c r="I161" s="168">
        <f t="shared" si="12"/>
        <v>1.4694785018474972E-4</v>
      </c>
    </row>
    <row r="162" spans="2:9" x14ac:dyDescent="0.2">
      <c r="B162" s="180">
        <f>IF('ن-فرعي'!D255&gt;0,'ن-فرعي'!D255,"")</f>
        <v>25701002</v>
      </c>
      <c r="C162" s="16" t="str">
        <f>IF('ن-فرعي'!E255&gt;0,'ن-فرعي'!E255,"")</f>
        <v>تجليد الكتب والدوريات</v>
      </c>
      <c r="D162" s="88">
        <f>IF('ن-فرعي'!F255&gt;0,'ن-فرعي'!F255,"")</f>
        <v>5000</v>
      </c>
      <c r="E162" s="88">
        <f>IF('ن-فرعي'!G255&gt;0,'ن-فرعي'!G255,"")</f>
        <v>5000</v>
      </c>
      <c r="F162" s="177" t="str">
        <f>IF('ن-فرعي'!H255&gt;0,'ن-فرعي'!H255,"")</f>
        <v/>
      </c>
      <c r="G162" s="88" t="str">
        <f>IF('ن-فرعي'!I255&gt;0,'ن-فرعي'!I255,"")</f>
        <v/>
      </c>
      <c r="H162" s="167" t="str">
        <f t="shared" si="11"/>
        <v/>
      </c>
      <c r="I162" s="168" t="str">
        <f t="shared" si="12"/>
        <v/>
      </c>
    </row>
    <row r="163" spans="2:9" x14ac:dyDescent="0.2">
      <c r="B163" s="341" t="str">
        <f>'ن-فرعي'!B257</f>
        <v xml:space="preserve">مجموع الفصل السابع: الكتب والدوريات الورقية والالكترونية </v>
      </c>
      <c r="C163" s="341"/>
      <c r="D163" s="57">
        <f>SUM(D161:D162)</f>
        <v>35000</v>
      </c>
      <c r="E163" s="57">
        <f>SUM(E161:E162)</f>
        <v>35000</v>
      </c>
      <c r="F163" s="57">
        <f>SUM(F161:F162)</f>
        <v>5249.5649999999996</v>
      </c>
      <c r="G163" s="57">
        <f>SUM(G161:G162)</f>
        <v>0.435</v>
      </c>
      <c r="H163" s="167">
        <f t="shared" si="11"/>
        <v>0.14998757142857141</v>
      </c>
      <c r="I163" s="168">
        <f t="shared" si="12"/>
        <v>1.4694785018474972E-4</v>
      </c>
    </row>
    <row r="164" spans="2:9" x14ac:dyDescent="0.2">
      <c r="B164" s="339" t="str">
        <f>'ن-فرعي'!B258</f>
        <v>مجموع الباب الثاني: نفقات البحث العلمي</v>
      </c>
      <c r="C164" s="339"/>
      <c r="D164" s="52">
        <f>D133+D137+D143+D150+D153+D159+D163</f>
        <v>2128500</v>
      </c>
      <c r="E164" s="52">
        <f>E133+E137+E143+E150+E153+E159+E163</f>
        <v>2128500</v>
      </c>
      <c r="F164" s="52">
        <f>F133+F137+F143+F150+F153+F159+F163</f>
        <v>1105651.8029999998</v>
      </c>
      <c r="G164" s="52">
        <f>G133+G137+G143+G150+G153+G159+G163</f>
        <v>489397.52400000003</v>
      </c>
      <c r="H164" s="167">
        <f t="shared" si="11"/>
        <v>0.51945116420014081</v>
      </c>
      <c r="I164" s="168">
        <f t="shared" si="12"/>
        <v>3.0949832129660727E-2</v>
      </c>
    </row>
    <row r="165" spans="2:9" x14ac:dyDescent="0.2">
      <c r="B165" s="309" t="str">
        <f>'ن-فرعي'!B259:I259</f>
        <v>الباب الثالث: نفقات البعثات العلمية والدورات التدريبية</v>
      </c>
      <c r="C165" s="309"/>
      <c r="D165" s="309"/>
      <c r="E165" s="309"/>
      <c r="F165" s="309"/>
      <c r="G165" s="309"/>
      <c r="H165" s="309"/>
      <c r="I165" s="309"/>
    </row>
    <row r="166" spans="2:9" x14ac:dyDescent="0.2">
      <c r="B166" s="334" t="str">
        <f>'ن-فرعي'!B260:I260</f>
        <v>الفصل الأول: نفقات البعثات العلمية والدورات التدريبية</v>
      </c>
      <c r="C166" s="334"/>
      <c r="D166" s="334"/>
      <c r="E166" s="334"/>
      <c r="F166" s="334"/>
      <c r="G166" s="334"/>
      <c r="H166" s="334"/>
      <c r="I166" s="334"/>
    </row>
    <row r="167" spans="2:9" x14ac:dyDescent="0.2">
      <c r="B167" s="180">
        <f>IF('ن-فرعي'!D262&gt;0,'ن-فرعي'!D262,"")</f>
        <v>25901001</v>
      </c>
      <c r="C167" s="16" t="str">
        <f>IF('ن-فرعي'!E262&gt;0,'ن-فرعي'!E262,"")</f>
        <v>نفقات الايفاد والبعثات العلمية</v>
      </c>
      <c r="D167" s="88">
        <f>IF('ن-فرعي'!F262&gt;0,'ن-فرعي'!F262,"")</f>
        <v>300000</v>
      </c>
      <c r="E167" s="88">
        <f>IF('ن-فرعي'!G262&gt;0,'ن-فرعي'!G262,"")</f>
        <v>310000</v>
      </c>
      <c r="F167" s="177">
        <f>IF('ن-فرعي'!H262&gt;0,'ن-فرعي'!H262,"")</f>
        <v>309999.35200000001</v>
      </c>
      <c r="G167" s="88" t="str">
        <f>IF('ن-فرعي'!I262&gt;0,'ن-فرعي'!I262,"")</f>
        <v/>
      </c>
      <c r="H167" s="167">
        <f t="shared" si="11"/>
        <v>0.99999790967741942</v>
      </c>
      <c r="I167" s="168">
        <f t="shared" si="12"/>
        <v>8.6776215429403211E-3</v>
      </c>
    </row>
    <row r="168" spans="2:9" x14ac:dyDescent="0.2">
      <c r="B168" s="180">
        <f>IF('ن-فرعي'!D265&gt;0,'ن-فرعي'!D265,"")</f>
        <v>25902001</v>
      </c>
      <c r="C168" s="16" t="str">
        <f>IF('ن-فرعي'!E265&gt;0,'ن-فرعي'!E265,"")</f>
        <v>الدورات التدريبية وورش عمل وندوات</v>
      </c>
      <c r="D168" s="88">
        <f>IF('ن-فرعي'!F265&gt;0,'ن-فرعي'!F265,"")</f>
        <v>10000</v>
      </c>
      <c r="E168" s="88" t="str">
        <f>IF('ن-فرعي'!G265&gt;0,'ن-فرعي'!G265,"")</f>
        <v/>
      </c>
      <c r="F168" s="177" t="str">
        <f>IF('ن-فرعي'!H265&gt;0,'ن-فرعي'!H265,"")</f>
        <v/>
      </c>
      <c r="G168" s="88" t="str">
        <f>IF('ن-فرعي'!I265&gt;0,'ن-فرعي'!I265,"")</f>
        <v/>
      </c>
      <c r="H168" s="167" t="str">
        <f t="shared" si="11"/>
        <v/>
      </c>
      <c r="I168" s="168" t="str">
        <f t="shared" si="12"/>
        <v/>
      </c>
    </row>
    <row r="169" spans="2:9" x14ac:dyDescent="0.2">
      <c r="B169" s="319" t="str">
        <f>'ن-فرعي'!B267</f>
        <v>مجموع الفصل الأول: نفقات البعثات العلمية والدورات التدريبية</v>
      </c>
      <c r="C169" s="319"/>
      <c r="D169" s="57">
        <f>SUM(D167:D168)</f>
        <v>310000</v>
      </c>
      <c r="E169" s="57">
        <f>SUM(E167:E168)</f>
        <v>310000</v>
      </c>
      <c r="F169" s="57">
        <f>SUM(F167:F168)</f>
        <v>309999.35200000001</v>
      </c>
      <c r="G169" s="57">
        <f>SUM(G167:G168)</f>
        <v>0</v>
      </c>
      <c r="H169" s="167">
        <f t="shared" si="11"/>
        <v>0.99999790967741942</v>
      </c>
      <c r="I169" s="168">
        <f t="shared" si="12"/>
        <v>8.6776215429403211E-3</v>
      </c>
    </row>
    <row r="170" spans="2:9" x14ac:dyDescent="0.2">
      <c r="B170" s="339" t="str">
        <f>'ن-فرعي'!B268</f>
        <v>مجموع الباب الثالث: نفقات البعثات العلمية والدورات التدريبية</v>
      </c>
      <c r="C170" s="339"/>
      <c r="D170" s="52">
        <f>SUM(D169)</f>
        <v>310000</v>
      </c>
      <c r="E170" s="52">
        <f t="shared" ref="E170:G170" si="17">SUM(E169)</f>
        <v>310000</v>
      </c>
      <c r="F170" s="52">
        <f t="shared" si="17"/>
        <v>309999.35200000001</v>
      </c>
      <c r="G170" s="52">
        <f t="shared" si="17"/>
        <v>0</v>
      </c>
      <c r="H170" s="167">
        <f t="shared" si="11"/>
        <v>0.99999790967741942</v>
      </c>
      <c r="I170" s="168">
        <f t="shared" si="12"/>
        <v>8.6776215429403211E-3</v>
      </c>
    </row>
    <row r="171" spans="2:9" x14ac:dyDescent="0.2">
      <c r="B171" s="309" t="str">
        <f>'ن-فرعي'!B269:I269</f>
        <v>الباب الرابع: النفقات الرأسمالية</v>
      </c>
      <c r="C171" s="309"/>
      <c r="D171" s="309"/>
      <c r="E171" s="309"/>
      <c r="F171" s="309"/>
      <c r="G171" s="309"/>
      <c r="H171" s="309"/>
      <c r="I171" s="309"/>
    </row>
    <row r="172" spans="2:9" x14ac:dyDescent="0.2">
      <c r="B172" s="334" t="str">
        <f>'ن-فرعي'!B270:I270</f>
        <v>الفصل الأول: رخص متنوعة وتطوير التقنيات المختلفة</v>
      </c>
      <c r="C172" s="334"/>
      <c r="D172" s="334"/>
      <c r="E172" s="334"/>
      <c r="F172" s="334"/>
      <c r="G172" s="334"/>
      <c r="H172" s="334"/>
      <c r="I172" s="334"/>
    </row>
    <row r="173" spans="2:9" x14ac:dyDescent="0.2">
      <c r="B173" s="180">
        <f>IF('ن-فرعي'!D272&gt;0,'ن-فرعي'!D272,"")</f>
        <v>26201041</v>
      </c>
      <c r="C173" s="16" t="str">
        <f>IF('ن-فرعي'!E272&gt;0,'ن-فرعي'!E272,"")</f>
        <v>رخص برمجيات مايكروسوفت</v>
      </c>
      <c r="D173" s="88">
        <f>IF('ن-فرعي'!F272&gt;0,'ن-فرعي'!F272,"")</f>
        <v>35000</v>
      </c>
      <c r="E173" s="88">
        <f>IF('ن-فرعي'!G272&gt;0,'ن-فرعي'!G272,"")</f>
        <v>35000</v>
      </c>
      <c r="F173" s="177">
        <f>IF('ن-فرعي'!H272&gt;0,'ن-فرعي'!H272,"")</f>
        <v>35000</v>
      </c>
      <c r="G173" s="88" t="str">
        <f>IF('ن-فرعي'!I272&gt;0,'ن-فرعي'!I272,"")</f>
        <v/>
      </c>
      <c r="H173" s="167">
        <f t="shared" si="11"/>
        <v>1</v>
      </c>
      <c r="I173" s="168">
        <f t="shared" si="12"/>
        <v>9.7973351248460423E-4</v>
      </c>
    </row>
    <row r="174" spans="2:9" x14ac:dyDescent="0.2">
      <c r="B174" s="180">
        <f>IF('ن-فرعي'!D273&gt;0,'ن-فرعي'!D273,"")</f>
        <v>26201049</v>
      </c>
      <c r="C174" s="16" t="str">
        <f>IF('ن-فرعي'!E273&gt;0,'ن-فرعي'!E273,"")</f>
        <v>رخص الانظمة الرئيسية وأمن المعلومات</v>
      </c>
      <c r="D174" s="88">
        <f>IF('ن-فرعي'!F273&gt;0,'ن-فرعي'!F273,"")</f>
        <v>40000</v>
      </c>
      <c r="E174" s="88">
        <f>IF('ن-فرعي'!G273&gt;0,'ن-فرعي'!G273,"")</f>
        <v>40000</v>
      </c>
      <c r="F174" s="177">
        <f>IF('ن-فرعي'!H273&gt;0,'ن-فرعي'!H273,"")</f>
        <v>2018.4</v>
      </c>
      <c r="G174" s="88">
        <f>IF('ن-فرعي'!I273&gt;0,'ن-فرعي'!I273,"")</f>
        <v>1981.6</v>
      </c>
      <c r="H174" s="167">
        <f t="shared" si="11"/>
        <v>5.0460000000000005E-2</v>
      </c>
      <c r="I174" s="168">
        <f t="shared" si="12"/>
        <v>5.6499832045683575E-5</v>
      </c>
    </row>
    <row r="175" spans="2:9" x14ac:dyDescent="0.2">
      <c r="B175" s="180">
        <f>IF('ن-فرعي'!D274&gt;0,'ن-فرعي'!D274,"")</f>
        <v>26201050</v>
      </c>
      <c r="C175" s="16" t="str">
        <f>IF('ن-فرعي'!E274&gt;0,'ن-فرعي'!E274,"")</f>
        <v>رخص قواعد البيانات</v>
      </c>
      <c r="D175" s="88">
        <f>IF('ن-فرعي'!F274&gt;0,'ن-فرعي'!F274,"")</f>
        <v>70000</v>
      </c>
      <c r="E175" s="88">
        <f>IF('ن-فرعي'!G274&gt;0,'ن-فرعي'!G274,"")</f>
        <v>69000</v>
      </c>
      <c r="F175" s="177">
        <f>IF('ن-فرعي'!H274&gt;0,'ن-فرعي'!H274,"")</f>
        <v>50</v>
      </c>
      <c r="G175" s="88">
        <f>IF('ن-فرعي'!I274&gt;0,'ن-فرعي'!I274,"")</f>
        <v>30000</v>
      </c>
      <c r="H175" s="167">
        <f t="shared" si="11"/>
        <v>7.246376811594203E-4</v>
      </c>
      <c r="I175" s="168">
        <f t="shared" si="12"/>
        <v>1.3996193035494346E-6</v>
      </c>
    </row>
    <row r="176" spans="2:9" s="37" customFormat="1" x14ac:dyDescent="0.2">
      <c r="B176" s="180">
        <f>IF('ن-فرعي'!D275&gt;0,'ن-فرعي'!D275,"")</f>
        <v>26201053</v>
      </c>
      <c r="C176" s="16" t="str">
        <f>IF('ن-فرعي'!E275&gt;0,'ن-فرعي'!E275,"")</f>
        <v xml:space="preserve">الرخصة الراديوية السنوية للإذاعة </v>
      </c>
      <c r="D176" s="88">
        <f>IF('ن-فرعي'!F275&gt;0,'ن-فرعي'!F275,"")</f>
        <v>9500</v>
      </c>
      <c r="E176" s="88">
        <f>IF('ن-فرعي'!G275&gt;0,'ن-فرعي'!G275,"")</f>
        <v>29500</v>
      </c>
      <c r="F176" s="177">
        <f>IF('ن-فرعي'!H275&gt;0,'ن-فرعي'!H275,"")</f>
        <v>28992</v>
      </c>
      <c r="G176" s="88" t="str">
        <f>IF('ن-فرعي'!I275&gt;0,'ن-فرعي'!I275,"")</f>
        <v/>
      </c>
      <c r="H176" s="167">
        <f t="shared" si="11"/>
        <v>0.98277966101694914</v>
      </c>
      <c r="I176" s="168">
        <f t="shared" si="12"/>
        <v>8.115552569701041E-4</v>
      </c>
    </row>
    <row r="177" spans="2:9" x14ac:dyDescent="0.2">
      <c r="B177" s="180">
        <f>IF('ن-فرعي'!D278&gt;0,'ن-فرعي'!D278,"")</f>
        <v>26202002</v>
      </c>
      <c r="C177" s="16" t="str">
        <f>IF('ن-فرعي'!E278&gt;0,'ن-فرعي'!E278,"")</f>
        <v>تطوير أجهزة وبرمجيات أنظمة الحماية وملحقاته</v>
      </c>
      <c r="D177" s="88">
        <f>IF('ن-فرعي'!F278&gt;0,'ن-فرعي'!F278,"")</f>
        <v>140000</v>
      </c>
      <c r="E177" s="88">
        <f>IF('ن-فرعي'!G278&gt;0,'ن-فرعي'!G278,"")</f>
        <v>121000</v>
      </c>
      <c r="F177" s="177">
        <f>IF('ن-فرعي'!H278&gt;0,'ن-فرعي'!H278,"")</f>
        <v>4621.2</v>
      </c>
      <c r="G177" s="88">
        <f>IF('ن-فرعي'!I278&gt;0,'ن-فرعي'!I278,"")</f>
        <v>47978.8</v>
      </c>
      <c r="H177" s="167">
        <f t="shared" si="11"/>
        <v>3.8191735537190082E-2</v>
      </c>
      <c r="I177" s="168">
        <f t="shared" si="12"/>
        <v>1.2935841451125292E-4</v>
      </c>
    </row>
    <row r="178" spans="2:9" s="37" customFormat="1" x14ac:dyDescent="0.2">
      <c r="B178" s="181">
        <f>IF('ن-فرعي'!D279&gt;0,'ن-فرعي'!D279,"")</f>
        <v>26202003</v>
      </c>
      <c r="C178" s="137" t="str">
        <f>IF('ن-فرعي'!E279&gt;0,'ن-فرعي'!E279,"")</f>
        <v>نظام النسخ الاحتياطي</v>
      </c>
      <c r="D178" s="97">
        <f>IF('ن-فرعي'!F279&gt;0,'ن-فرعي'!F279,"")</f>
        <v>40000</v>
      </c>
      <c r="E178" s="97">
        <f>IF('ن-فرعي'!G279&gt;0,'ن-فرعي'!G279,"")</f>
        <v>40000</v>
      </c>
      <c r="F178" s="177">
        <f>IF('ن-فرعي'!H279&gt;0,'ن-فرعي'!H279,"")</f>
        <v>1300</v>
      </c>
      <c r="G178" s="97">
        <f>IF('ن-فرعي'!I279&gt;0,'ن-فرعي'!I279,"")</f>
        <v>1700</v>
      </c>
      <c r="H178" s="167">
        <f t="shared" si="11"/>
        <v>3.2500000000000001E-2</v>
      </c>
      <c r="I178" s="168">
        <f t="shared" si="12"/>
        <v>3.6390101892285301E-5</v>
      </c>
    </row>
    <row r="179" spans="2:9" x14ac:dyDescent="0.2">
      <c r="B179" s="319" t="str">
        <f>'ن-فرعي'!B281</f>
        <v>مجموع الفصل الأول: رخص متنوعة وتطوير التقنيات المختلفة</v>
      </c>
      <c r="C179" s="319"/>
      <c r="D179" s="57">
        <f>SUM(D173:D178)</f>
        <v>334500</v>
      </c>
      <c r="E179" s="57">
        <f>SUM(E173:E178)</f>
        <v>334500</v>
      </c>
      <c r="F179" s="57">
        <f>SUM(F173:F178)</f>
        <v>71981.599999999991</v>
      </c>
      <c r="G179" s="57">
        <f>SUM(G173:G178)</f>
        <v>81660.399999999994</v>
      </c>
      <c r="H179" s="167">
        <f t="shared" si="11"/>
        <v>0.21519162929745886</v>
      </c>
      <c r="I179" s="168">
        <f t="shared" si="12"/>
        <v>2.0149367372074792E-3</v>
      </c>
    </row>
    <row r="180" spans="2:9" x14ac:dyDescent="0.2">
      <c r="B180" s="334" t="str">
        <f>'ن-فرعي'!B282:I282</f>
        <v>الفصل الثاني: التجهيزات المكتبية والأثاث</v>
      </c>
      <c r="C180" s="334"/>
      <c r="D180" s="334"/>
      <c r="E180" s="334"/>
      <c r="F180" s="334"/>
      <c r="G180" s="334"/>
      <c r="H180" s="334"/>
      <c r="I180" s="334"/>
    </row>
    <row r="181" spans="2:9" x14ac:dyDescent="0.2">
      <c r="B181" s="180">
        <f>IF('ن-فرعي'!D284&gt;0,'ن-فرعي'!D284,"")</f>
        <v>26301001</v>
      </c>
      <c r="C181" s="16" t="str">
        <f>IF('ن-فرعي'!E284&gt;0,'ن-فرعي'!E284,"")</f>
        <v>التجهيزات المكتبية والاثاث</v>
      </c>
      <c r="D181" s="88">
        <f>IF('ن-فرعي'!F284&gt;0,'ن-فرعي'!F284,"")</f>
        <v>40000</v>
      </c>
      <c r="E181" s="88">
        <f>IF('ن-فرعي'!G284&gt;0,'ن-فرعي'!G284,"")</f>
        <v>20000</v>
      </c>
      <c r="F181" s="177">
        <f>IF('ن-فرعي'!H284&gt;0,'ن-فرعي'!H284,"")</f>
        <v>610</v>
      </c>
      <c r="G181" s="88">
        <f>IF('ن-فرعي'!I284&gt;0,'ن-فرعي'!I284,"")</f>
        <v>361.25</v>
      </c>
      <c r="H181" s="167">
        <f t="shared" si="11"/>
        <v>3.0499999999999999E-2</v>
      </c>
      <c r="I181" s="168">
        <f t="shared" si="12"/>
        <v>1.7075355503303101E-5</v>
      </c>
    </row>
    <row r="182" spans="2:9" x14ac:dyDescent="0.2">
      <c r="B182" s="180">
        <f>IF('ن-فرعي'!D285&gt;0,'ن-فرعي'!D285,"")</f>
        <v>26301006</v>
      </c>
      <c r="C182" s="16" t="str">
        <f>IF('ن-فرعي'!E285&gt;0,'ن-فرعي'!E285,"")</f>
        <v>تجهيز أرفف معدنية للمكتبة الهاشمية</v>
      </c>
      <c r="D182" s="88">
        <f>IF('ن-فرعي'!F285&gt;0,'ن-فرعي'!F285,"")</f>
        <v>5000</v>
      </c>
      <c r="E182" s="88">
        <f>IF('ن-فرعي'!G285&gt;0,'ن-فرعي'!G285,"")</f>
        <v>5000</v>
      </c>
      <c r="F182" s="177" t="str">
        <f>IF('ن-فرعي'!H285&gt;0,'ن-فرعي'!H285,"")</f>
        <v/>
      </c>
      <c r="G182" s="88" t="str">
        <f>IF('ن-فرعي'!I285&gt;0,'ن-فرعي'!I285,"")</f>
        <v/>
      </c>
      <c r="H182" s="167" t="str">
        <f t="shared" si="11"/>
        <v/>
      </c>
      <c r="I182" s="168" t="str">
        <f t="shared" si="12"/>
        <v/>
      </c>
    </row>
    <row r="183" spans="2:9" s="37" customFormat="1" x14ac:dyDescent="0.2">
      <c r="B183" s="180">
        <f>IF('ن-فرعي'!D286&gt;0,'ن-فرعي'!D286,"")</f>
        <v>26301007</v>
      </c>
      <c r="C183" s="16" t="str">
        <f>IF('ن-فرعي'!E286&gt;0,'ن-فرعي'!E286,"")</f>
        <v>أجهزة وتجهيزات وتطوير للمقسم</v>
      </c>
      <c r="D183" s="88">
        <f>IF('ن-فرعي'!F286&gt;0,'ن-فرعي'!F286,"")</f>
        <v>5000</v>
      </c>
      <c r="E183" s="88">
        <f>IF('ن-فرعي'!G286&gt;0,'ن-فرعي'!G286,"")</f>
        <v>5000</v>
      </c>
      <c r="F183" s="177">
        <f>IF('ن-فرعي'!H286&gt;0,'ن-فرعي'!H286,"")</f>
        <v>2499.8000000000002</v>
      </c>
      <c r="G183" s="88" t="str">
        <f>IF('ن-فرعي'!I286&gt;0,'ن-فرعي'!I286,"")</f>
        <v/>
      </c>
      <c r="H183" s="167">
        <f t="shared" si="11"/>
        <v>0.49996000000000002</v>
      </c>
      <c r="I183" s="168">
        <f t="shared" si="12"/>
        <v>6.9975366700257541E-5</v>
      </c>
    </row>
    <row r="184" spans="2:9" s="37" customFormat="1" x14ac:dyDescent="0.2">
      <c r="B184" s="180">
        <f>IF('ن-فرعي'!D287&gt;0,'ن-فرعي'!D287,"")</f>
        <v>26301016</v>
      </c>
      <c r="C184" s="16" t="str">
        <f>IF('ن-فرعي'!E287&gt;0,'ن-فرعي'!E287,"")</f>
        <v>أجهزة وتجهيزات وأثاث مبنى كلية الهندسة الجديد</v>
      </c>
      <c r="D184" s="88">
        <f>IF('ن-فرعي'!F287&gt;0,'ن-فرعي'!F287,"")</f>
        <v>5000</v>
      </c>
      <c r="E184" s="88">
        <f>IF('ن-فرعي'!G287&gt;0,'ن-فرعي'!G287,"")</f>
        <v>5000</v>
      </c>
      <c r="F184" s="177" t="str">
        <f>IF('ن-فرعي'!H287&gt;0,'ن-فرعي'!H287,"")</f>
        <v/>
      </c>
      <c r="G184" s="88" t="str">
        <f>IF('ن-فرعي'!I287&gt;0,'ن-فرعي'!I287,"")</f>
        <v/>
      </c>
      <c r="H184" s="167" t="str">
        <f t="shared" si="11"/>
        <v/>
      </c>
      <c r="I184" s="168" t="str">
        <f t="shared" si="12"/>
        <v/>
      </c>
    </row>
    <row r="185" spans="2:9" s="37" customFormat="1" x14ac:dyDescent="0.2">
      <c r="B185" s="180">
        <f>IF('ن-فرعي'!D288&gt;0,'ن-فرعي'!D288,"")</f>
        <v>26301019</v>
      </c>
      <c r="C185" s="16" t="str">
        <f>IF('ن-فرعي'!E288&gt;0,'ن-فرعي'!E288,"")</f>
        <v>أجهزة وتجهيزات وأثاث مبنى ملحق كلية التمريض الجديد</v>
      </c>
      <c r="D185" s="88">
        <f>IF('ن-فرعي'!F288&gt;0,'ن-فرعي'!F288,"")</f>
        <v>20000</v>
      </c>
      <c r="E185" s="88" t="str">
        <f>IF('ن-فرعي'!G288&gt;0,'ن-فرعي'!G288,"")</f>
        <v/>
      </c>
      <c r="F185" s="177" t="str">
        <f>IF('ن-فرعي'!H288&gt;0,'ن-فرعي'!H288,"")</f>
        <v/>
      </c>
      <c r="G185" s="88" t="str">
        <f>IF('ن-فرعي'!I288&gt;0,'ن-فرعي'!I288,"")</f>
        <v/>
      </c>
      <c r="H185" s="167" t="str">
        <f t="shared" si="11"/>
        <v/>
      </c>
      <c r="I185" s="168" t="str">
        <f t="shared" si="12"/>
        <v/>
      </c>
    </row>
    <row r="186" spans="2:9" x14ac:dyDescent="0.2">
      <c r="B186" s="180">
        <f>IF('ن-فرعي'!D291&gt;0,'ن-فرعي'!D291,"")</f>
        <v>26302001</v>
      </c>
      <c r="C186" s="16" t="str">
        <f>IF('ن-فرعي'!E291&gt;0,'ن-فرعي'!E291,"")</f>
        <v>أجهزة حاسوب وطابعات وملحقاتها</v>
      </c>
      <c r="D186" s="88">
        <f>IF('ن-فرعي'!F291&gt;0,'ن-فرعي'!F291,"")</f>
        <v>15000</v>
      </c>
      <c r="E186" s="88">
        <f>IF('ن-فرعي'!G291&gt;0,'ن-فرعي'!G291,"")</f>
        <v>75000</v>
      </c>
      <c r="F186" s="177">
        <f>IF('ن-فرعي'!H291&gt;0,'ن-فرعي'!H291,"")</f>
        <v>750</v>
      </c>
      <c r="G186" s="88">
        <f>IF('ن-فرعي'!I291&gt;0,'ن-فرعي'!I291,"")</f>
        <v>70450</v>
      </c>
      <c r="H186" s="167">
        <f t="shared" si="11"/>
        <v>0.01</v>
      </c>
      <c r="I186" s="168">
        <f t="shared" si="12"/>
        <v>2.0994289553241517E-5</v>
      </c>
    </row>
    <row r="187" spans="2:9" x14ac:dyDescent="0.2">
      <c r="B187" s="180">
        <f>IF('ن-فرعي'!D292&gt;0,'ن-فرعي'!D292,"")</f>
        <v>26302004</v>
      </c>
      <c r="C187" s="16" t="str">
        <f>IF('ن-فرعي'!E292&gt;0,'ن-فرعي'!E292,"")</f>
        <v>أجهزة وتجهيزات ونفقات تشغيل محطة إذاعة الجامعة</v>
      </c>
      <c r="D187" s="88">
        <f>IF('ن-فرعي'!F292&gt;0,'ن-فرعي'!F292,"")</f>
        <v>1000</v>
      </c>
      <c r="E187" s="88">
        <f>IF('ن-فرعي'!G292&gt;0,'ن-فرعي'!G292,"")</f>
        <v>1000</v>
      </c>
      <c r="F187" s="177">
        <f>IF('ن-فرعي'!H292&gt;0,'ن-فرعي'!H292,"")</f>
        <v>8</v>
      </c>
      <c r="G187" s="88" t="str">
        <f>IF('ن-فرعي'!I292&gt;0,'ن-فرعي'!I292,"")</f>
        <v/>
      </c>
      <c r="H187" s="167">
        <f t="shared" si="11"/>
        <v>8.0000000000000002E-3</v>
      </c>
      <c r="I187" s="168">
        <f t="shared" si="12"/>
        <v>2.2393908856790952E-7</v>
      </c>
    </row>
    <row r="188" spans="2:9" x14ac:dyDescent="0.2">
      <c r="B188" s="180">
        <f>IF('ن-فرعي'!D293&gt;0,'ن-فرعي'!D293,"")</f>
        <v>26302005</v>
      </c>
      <c r="C188" s="16" t="str">
        <f>IF('ن-فرعي'!E293&gt;0,'ن-فرعي'!E293,"")</f>
        <v>أجهزة وتجهيزات خاصة بأنشطة عمادة شؤون الطلبة وصالات الرياضة</v>
      </c>
      <c r="D188" s="88">
        <f>IF('ن-فرعي'!F293&gt;0,'ن-فرعي'!F293,"")</f>
        <v>20000</v>
      </c>
      <c r="E188" s="88" t="str">
        <f>IF('ن-فرعي'!G293&gt;0,'ن-فرعي'!G293,"")</f>
        <v/>
      </c>
      <c r="F188" s="177" t="str">
        <f>IF('ن-فرعي'!H293&gt;0,'ن-فرعي'!H293,"")</f>
        <v/>
      </c>
      <c r="G188" s="88" t="str">
        <f>IF('ن-فرعي'!I293&gt;0,'ن-فرعي'!I293,"")</f>
        <v/>
      </c>
      <c r="H188" s="167" t="str">
        <f t="shared" si="11"/>
        <v/>
      </c>
      <c r="I188" s="168" t="str">
        <f t="shared" si="12"/>
        <v/>
      </c>
    </row>
    <row r="189" spans="2:9" x14ac:dyDescent="0.2">
      <c r="B189" s="180">
        <f>IF('ن-فرعي'!D294&gt;0,'ن-فرعي'!D294,"")</f>
        <v>26302007</v>
      </c>
      <c r="C189" s="16" t="str">
        <f>IF('ن-فرعي'!E294&gt;0,'ن-فرعي'!E294,"")</f>
        <v>تجهيزات وأدوات رياضية خاصة بتخصص التربية البدنية</v>
      </c>
      <c r="D189" s="88">
        <f>IF('ن-فرعي'!F294&gt;0,'ن-فرعي'!F294,"")</f>
        <v>10000</v>
      </c>
      <c r="E189" s="88">
        <f>IF('ن-فرعي'!G294&gt;0,'ن-فرعي'!G294,"")</f>
        <v>10000</v>
      </c>
      <c r="F189" s="177">
        <f>IF('ن-فرعي'!H294&gt;0,'ن-فرعي'!H294,"")</f>
        <v>1000</v>
      </c>
      <c r="G189" s="88" t="str">
        <f>IF('ن-فرعي'!I294&gt;0,'ن-فرعي'!I294,"")</f>
        <v/>
      </c>
      <c r="H189" s="167">
        <f t="shared" si="11"/>
        <v>0.1</v>
      </c>
      <c r="I189" s="168">
        <f t="shared" si="12"/>
        <v>2.7992386070988691E-5</v>
      </c>
    </row>
    <row r="190" spans="2:9" s="37" customFormat="1" x14ac:dyDescent="0.2">
      <c r="B190" s="180">
        <f>IF('ن-فرعي'!D295&gt;0,'ن-فرعي'!D295,"")</f>
        <v>26302008</v>
      </c>
      <c r="C190" s="16" t="str">
        <f>IF('ن-فرعي'!E295&gt;0,'ن-فرعي'!E295,"")</f>
        <v>أجهزة وتجهيزات للمركز الصحي داخل الجامعة</v>
      </c>
      <c r="D190" s="88">
        <f>IF('ن-فرعي'!F295&gt;0,'ن-فرعي'!F295,"")</f>
        <v>10000</v>
      </c>
      <c r="E190" s="88">
        <f>IF('ن-فرعي'!G295&gt;0,'ن-فرعي'!G295,"")</f>
        <v>10000</v>
      </c>
      <c r="F190" s="177" t="str">
        <f>IF('ن-فرعي'!H295&gt;0,'ن-فرعي'!H295,"")</f>
        <v/>
      </c>
      <c r="G190" s="88" t="str">
        <f>IF('ن-فرعي'!I295&gt;0,'ن-فرعي'!I295,"")</f>
        <v/>
      </c>
      <c r="H190" s="167" t="str">
        <f t="shared" si="11"/>
        <v/>
      </c>
      <c r="I190" s="168" t="str">
        <f t="shared" si="12"/>
        <v/>
      </c>
    </row>
    <row r="191" spans="2:9" x14ac:dyDescent="0.2">
      <c r="B191" s="180">
        <f>IF('ن-فرعي'!D298&gt;0,'ن-فرعي'!D298,"")</f>
        <v>26303001</v>
      </c>
      <c r="C191" s="16" t="str">
        <f>IF('ن-فرعي'!E298&gt;0,'ن-فرعي'!E298,"")</f>
        <v>أجهزة وتجهيزات خاصة بسكن الطالبات</v>
      </c>
      <c r="D191" s="88">
        <f>IF('ن-فرعي'!F298&gt;0,'ن-فرعي'!F298,"")</f>
        <v>10000</v>
      </c>
      <c r="E191" s="88">
        <f>IF('ن-فرعي'!G298&gt;0,'ن-فرعي'!G298,"")</f>
        <v>10000</v>
      </c>
      <c r="F191" s="177" t="str">
        <f>IF('ن-فرعي'!H298&gt;0,'ن-فرعي'!H298,"")</f>
        <v/>
      </c>
      <c r="G191" s="88" t="str">
        <f>IF('ن-فرعي'!I298&gt;0,'ن-فرعي'!I298,"")</f>
        <v/>
      </c>
      <c r="H191" s="167" t="str">
        <f t="shared" si="11"/>
        <v/>
      </c>
      <c r="I191" s="168" t="str">
        <f t="shared" si="12"/>
        <v/>
      </c>
    </row>
    <row r="192" spans="2:9" x14ac:dyDescent="0.2">
      <c r="B192" s="180">
        <f>IF('ن-فرعي'!D299&gt;0,'ن-فرعي'!D299,"")</f>
        <v>26303002</v>
      </c>
      <c r="C192" s="16" t="str">
        <f>IF('ن-فرعي'!E299&gt;0,'ن-فرعي'!E299,"")</f>
        <v>أجهزة وتجهيزات خاصة بقاعة استقبال وسكن الطبة الوافدين</v>
      </c>
      <c r="D192" s="88">
        <f>IF('ن-فرعي'!F299&gt;0,'ن-فرعي'!F299,"")</f>
        <v>4000</v>
      </c>
      <c r="E192" s="88">
        <f>IF('ن-فرعي'!G299&gt;0,'ن-فرعي'!G299,"")</f>
        <v>4000</v>
      </c>
      <c r="F192" s="177" t="str">
        <f>IF('ن-فرعي'!H299&gt;0,'ن-فرعي'!H299,"")</f>
        <v/>
      </c>
      <c r="G192" s="88" t="str">
        <f>IF('ن-فرعي'!I299&gt;0,'ن-فرعي'!I299,"")</f>
        <v/>
      </c>
      <c r="H192" s="167" t="str">
        <f t="shared" si="11"/>
        <v/>
      </c>
      <c r="I192" s="168" t="str">
        <f t="shared" si="12"/>
        <v/>
      </c>
    </row>
    <row r="193" spans="2:9" x14ac:dyDescent="0.2">
      <c r="B193" s="319" t="str">
        <f>'ن-فرعي'!B301</f>
        <v>مجموع الفصل الثاني: التجهيزات المكتبية والأثاث</v>
      </c>
      <c r="C193" s="319"/>
      <c r="D193" s="57">
        <f>SUM(D181:D192)</f>
        <v>145000</v>
      </c>
      <c r="E193" s="57">
        <f>SUM(E181:E192)</f>
        <v>145000</v>
      </c>
      <c r="F193" s="57">
        <f>SUM(F181:F192)</f>
        <v>4867.8</v>
      </c>
      <c r="G193" s="57">
        <f>SUM(G181:G192)</f>
        <v>70811.25</v>
      </c>
      <c r="H193" s="167">
        <f t="shared" si="11"/>
        <v>3.3571034482758624E-2</v>
      </c>
      <c r="I193" s="168">
        <f t="shared" si="12"/>
        <v>1.3626133691635876E-4</v>
      </c>
    </row>
    <row r="194" spans="2:9" x14ac:dyDescent="0.2">
      <c r="B194" s="334" t="str">
        <f>'ن-فرعي'!B302:I302</f>
        <v xml:space="preserve">الفصل الثالث: الآليات والأجهزة والمعدات </v>
      </c>
      <c r="C194" s="334"/>
      <c r="D194" s="334"/>
      <c r="E194" s="334"/>
      <c r="F194" s="334"/>
      <c r="G194" s="334"/>
      <c r="H194" s="334"/>
      <c r="I194" s="334"/>
    </row>
    <row r="195" spans="2:9" x14ac:dyDescent="0.2">
      <c r="B195" s="180">
        <f>IF('ن-فرعي'!D304&gt;0,'ن-فرعي'!D304,"")</f>
        <v>26401017</v>
      </c>
      <c r="C195" s="16" t="str">
        <f>IF('ن-فرعي'!E304&gt;0,'ن-فرعي'!E304,"")</f>
        <v>آليات ومركبات مختلفة</v>
      </c>
      <c r="D195" s="88">
        <f>IF('ن-فرعي'!F304&gt;0,'ن-فرعي'!F304,"")</f>
        <v>50000</v>
      </c>
      <c r="E195" s="88">
        <f>IF('ن-فرعي'!G304&gt;0,'ن-فرعي'!G304,"")</f>
        <v>50000</v>
      </c>
      <c r="F195" s="177" t="str">
        <f>IF('ن-فرعي'!H304&gt;0,'ن-فرعي'!H304,"")</f>
        <v/>
      </c>
      <c r="G195" s="88" t="str">
        <f>IF('ن-فرعي'!I304&gt;0,'ن-فرعي'!I304,"")</f>
        <v/>
      </c>
      <c r="H195" s="167" t="str">
        <f t="shared" si="11"/>
        <v/>
      </c>
      <c r="I195" s="168" t="str">
        <f t="shared" si="12"/>
        <v/>
      </c>
    </row>
    <row r="196" spans="2:9" x14ac:dyDescent="0.2">
      <c r="B196" s="180">
        <f>IF('ن-فرعي'!D305&gt;0,'ن-فرعي'!D305,"")</f>
        <v>26401018</v>
      </c>
      <c r="C196" s="16" t="str">
        <f>IF('ن-فرعي'!E305&gt;0,'ن-فرعي'!E305,"")</f>
        <v xml:space="preserve">آليات زراعية  </v>
      </c>
      <c r="D196" s="88">
        <f>IF('ن-فرعي'!F305&gt;0,'ن-فرعي'!F305,"")</f>
        <v>15000</v>
      </c>
      <c r="E196" s="88">
        <f>IF('ن-فرعي'!G305&gt;0,'ن-فرعي'!G305,"")</f>
        <v>15000</v>
      </c>
      <c r="F196" s="177" t="str">
        <f>IF('ن-فرعي'!H305&gt;0,'ن-فرعي'!H305,"")</f>
        <v/>
      </c>
      <c r="G196" s="88" t="str">
        <f>IF('ن-فرعي'!I305&gt;0,'ن-فرعي'!I305,"")</f>
        <v/>
      </c>
      <c r="H196" s="167" t="str">
        <f t="shared" si="11"/>
        <v/>
      </c>
      <c r="I196" s="168" t="str">
        <f t="shared" si="12"/>
        <v/>
      </c>
    </row>
    <row r="197" spans="2:9" x14ac:dyDescent="0.2">
      <c r="B197" s="180">
        <f>IF('ن-فرعي'!D308&gt;0,'ن-فرعي'!D308,"")</f>
        <v>26402001</v>
      </c>
      <c r="C197" s="16" t="str">
        <f>IF('ن-فرعي'!E308&gt;0,'ن-فرعي'!E308,"")</f>
        <v>اجهزة ومعدات خاصة بدائرة الهندسة والصيانة</v>
      </c>
      <c r="D197" s="88">
        <f>IF('ن-فرعي'!F308&gt;0,'ن-فرعي'!F308,"")</f>
        <v>10000</v>
      </c>
      <c r="E197" s="88">
        <f>IF('ن-فرعي'!G308&gt;0,'ن-فرعي'!G308,"")</f>
        <v>10000</v>
      </c>
      <c r="F197" s="177" t="str">
        <f>IF('ن-فرعي'!H308&gt;0,'ن-فرعي'!H308,"")</f>
        <v/>
      </c>
      <c r="G197" s="88" t="str">
        <f>IF('ن-فرعي'!I308&gt;0,'ن-فرعي'!I308,"")</f>
        <v/>
      </c>
      <c r="H197" s="167" t="str">
        <f t="shared" si="11"/>
        <v/>
      </c>
      <c r="I197" s="168" t="str">
        <f t="shared" si="12"/>
        <v/>
      </c>
    </row>
    <row r="198" spans="2:9" x14ac:dyDescent="0.2">
      <c r="B198" s="180">
        <f>IF('ن-فرعي'!D309&gt;0,'ن-فرعي'!D309,"")</f>
        <v>26402002</v>
      </c>
      <c r="C198" s="16" t="str">
        <f>IF('ن-فرعي'!E309&gt;0,'ن-فرعي'!E309,"")</f>
        <v>أجهزة ومعدات خاصة بدائرة الإنتاج والتصنيع</v>
      </c>
      <c r="D198" s="88">
        <f>IF('ن-فرعي'!F309&gt;0,'ن-فرعي'!F309,"")</f>
        <v>20000</v>
      </c>
      <c r="E198" s="88">
        <f>IF('ن-فرعي'!G309&gt;0,'ن-فرعي'!G309,"")</f>
        <v>20000</v>
      </c>
      <c r="F198" s="177" t="str">
        <f>IF('ن-فرعي'!H309&gt;0,'ن-فرعي'!H309,"")</f>
        <v/>
      </c>
      <c r="G198" s="88" t="str">
        <f>IF('ن-فرعي'!I309&gt;0,'ن-فرعي'!I309,"")</f>
        <v/>
      </c>
      <c r="H198" s="167" t="str">
        <f t="shared" si="11"/>
        <v/>
      </c>
      <c r="I198" s="168" t="str">
        <f t="shared" si="12"/>
        <v/>
      </c>
    </row>
    <row r="199" spans="2:9" x14ac:dyDescent="0.2">
      <c r="B199" s="180">
        <f>IF('ن-فرعي'!D310&gt;0,'ن-فرعي'!D310,"")</f>
        <v>26402003</v>
      </c>
      <c r="C199" s="16" t="str">
        <f>IF('ن-فرعي'!E310&gt;0,'ن-فرعي'!E310,"")</f>
        <v>أجهزة ومعدات وماتورات خاصة بدائرة الزراعة</v>
      </c>
      <c r="D199" s="88">
        <f>IF('ن-فرعي'!F310&gt;0,'ن-فرعي'!F310,"")</f>
        <v>15000</v>
      </c>
      <c r="E199" s="88">
        <f>IF('ن-فرعي'!G310&gt;0,'ن-فرعي'!G310,"")</f>
        <v>15000</v>
      </c>
      <c r="F199" s="177" t="str">
        <f>IF('ن-فرعي'!H310&gt;0,'ن-فرعي'!H310,"")</f>
        <v/>
      </c>
      <c r="G199" s="88" t="str">
        <f>IF('ن-فرعي'!I310&gt;0,'ن-فرعي'!I310,"")</f>
        <v/>
      </c>
      <c r="H199" s="167" t="str">
        <f t="shared" ref="H199:H225" si="18">IFERROR(F199/E199,"")</f>
        <v/>
      </c>
      <c r="I199" s="168" t="str">
        <f t="shared" ref="I199:I225" si="19">IFERROR(F199/$E$225,"")</f>
        <v/>
      </c>
    </row>
    <row r="200" spans="2:9" x14ac:dyDescent="0.2">
      <c r="B200" s="180">
        <f>IF('ن-فرعي'!D311&gt;0,'ن-فرعي'!D311,"")</f>
        <v>26402004</v>
      </c>
      <c r="C200" s="16" t="str">
        <f>IF('ن-فرعي'!E311&gt;0,'ن-فرعي'!E311,"")</f>
        <v>أجهزة ومعدات للنظافة العامة والوقاية الصحية والسلامة العامة</v>
      </c>
      <c r="D200" s="88">
        <f>IF('ن-فرعي'!F311&gt;0,'ن-فرعي'!F311,"")</f>
        <v>15000</v>
      </c>
      <c r="E200" s="88">
        <f>IF('ن-فرعي'!G311&gt;0,'ن-فرعي'!G311,"")</f>
        <v>15000</v>
      </c>
      <c r="F200" s="177">
        <f>IF('ن-فرعي'!H311&gt;0,'ن-فرعي'!H311,"")</f>
        <v>2783</v>
      </c>
      <c r="G200" s="88">
        <f>IF('ن-فرعي'!I311&gt;0,'ن-فرعي'!I311,"")</f>
        <v>67</v>
      </c>
      <c r="H200" s="167">
        <f t="shared" si="18"/>
        <v>0.18553333333333333</v>
      </c>
      <c r="I200" s="168">
        <f t="shared" si="19"/>
        <v>7.7902810435561529E-5</v>
      </c>
    </row>
    <row r="201" spans="2:9" x14ac:dyDescent="0.2">
      <c r="B201" s="180">
        <f>IF('ن-فرعي'!D312&gt;0,'ن-فرعي'!D312,"")</f>
        <v>26402005</v>
      </c>
      <c r="C201" s="16" t="str">
        <f>IF('ن-فرعي'!E312&gt;0,'ن-فرعي'!E312,"")</f>
        <v>أجهزة ومعدات للمطبعة</v>
      </c>
      <c r="D201" s="88">
        <f>IF('ن-فرعي'!F312&gt;0,'ن-فرعي'!F312,"")</f>
        <v>5000</v>
      </c>
      <c r="E201" s="88">
        <f>IF('ن-فرعي'!G312&gt;0,'ن-فرعي'!G312,"")</f>
        <v>5000</v>
      </c>
      <c r="F201" s="177" t="str">
        <f>IF('ن-فرعي'!H312&gt;0,'ن-فرعي'!H312,"")</f>
        <v/>
      </c>
      <c r="G201" s="88" t="str">
        <f>IF('ن-فرعي'!I312&gt;0,'ن-فرعي'!I312,"")</f>
        <v/>
      </c>
      <c r="H201" s="167" t="str">
        <f t="shared" si="18"/>
        <v/>
      </c>
      <c r="I201" s="168" t="str">
        <f t="shared" si="19"/>
        <v/>
      </c>
    </row>
    <row r="202" spans="2:9" x14ac:dyDescent="0.2">
      <c r="B202" s="180">
        <f>IF('ن-فرعي'!D313&gt;0,'ن-فرعي'!D313,"")</f>
        <v>26402006</v>
      </c>
      <c r="C202" s="16" t="str">
        <f>IF('ن-فرعي'!E313&gt;0,'ن-فرعي'!E313,"")</f>
        <v>أجهزة ومعدات وأنظمة الأمن والرقابة والحماية والإنذار</v>
      </c>
      <c r="D202" s="88">
        <f>IF('ن-فرعي'!F313&gt;0,'ن-فرعي'!F313,"")</f>
        <v>20000</v>
      </c>
      <c r="E202" s="88">
        <f>IF('ن-فرعي'!G313&gt;0,'ن-فرعي'!G313,"")</f>
        <v>20000</v>
      </c>
      <c r="F202" s="177">
        <f>IF('ن-فرعي'!H313&gt;0,'ن-فرعي'!H313,"")</f>
        <v>59.9</v>
      </c>
      <c r="G202" s="88">
        <f>IF('ن-فرعي'!I313&gt;0,'ن-فرعي'!I313,"")</f>
        <v>2050</v>
      </c>
      <c r="H202" s="167">
        <f t="shared" si="18"/>
        <v>2.9949999999999998E-3</v>
      </c>
      <c r="I202" s="168">
        <f t="shared" si="19"/>
        <v>1.6767439256522225E-6</v>
      </c>
    </row>
    <row r="203" spans="2:9" x14ac:dyDescent="0.2">
      <c r="B203" s="180">
        <f>IF('ن-فرعي'!D316&gt;0,'ن-فرعي'!D316,"")</f>
        <v>26404001</v>
      </c>
      <c r="C203" s="16" t="str">
        <f>IF('ن-فرعي'!E316&gt;0,'ن-فرعي'!E316,"")</f>
        <v>مواد أولية حاجة دائرة الهندسة والصيانة</v>
      </c>
      <c r="D203" s="88">
        <f>IF('ن-فرعي'!F316&gt;0,'ن-فرعي'!F316,"")</f>
        <v>20000</v>
      </c>
      <c r="E203" s="88">
        <f>IF('ن-فرعي'!G316&gt;0,'ن-فرعي'!G316,"")</f>
        <v>20000</v>
      </c>
      <c r="F203" s="177" t="str">
        <f>IF('ن-فرعي'!H316&gt;0,'ن-فرعي'!H316,"")</f>
        <v/>
      </c>
      <c r="G203" s="88">
        <f>IF('ن-فرعي'!I316&gt;0,'ن-فرعي'!I316,"")</f>
        <v>4680</v>
      </c>
      <c r="H203" s="167" t="str">
        <f t="shared" si="18"/>
        <v/>
      </c>
      <c r="I203" s="168" t="str">
        <f t="shared" si="19"/>
        <v/>
      </c>
    </row>
    <row r="204" spans="2:9" x14ac:dyDescent="0.2">
      <c r="B204" s="180">
        <f>IF('ن-فرعي'!D317&gt;0,'ن-فرعي'!D317,"")</f>
        <v>26404002</v>
      </c>
      <c r="C204" s="16" t="str">
        <f>IF('ن-فرعي'!E317&gt;0,'ن-فرعي'!E317,"")</f>
        <v>مواد أولية حاجة دائرة الإنتاج والتصنيع</v>
      </c>
      <c r="D204" s="88">
        <f>IF('ن-فرعي'!F317&gt;0,'ن-فرعي'!F317,"")</f>
        <v>30000</v>
      </c>
      <c r="E204" s="88">
        <f>IF('ن-فرعي'!G317&gt;0,'ن-فرعي'!G317,"")</f>
        <v>30000</v>
      </c>
      <c r="F204" s="177">
        <f>IF('ن-فرعي'!H317&gt;0,'ن-فرعي'!H317,"")</f>
        <v>7690.8</v>
      </c>
      <c r="G204" s="88">
        <f>IF('ن-فرعي'!I317&gt;0,'ن-فرعي'!I317,"")</f>
        <v>1378</v>
      </c>
      <c r="H204" s="167">
        <f t="shared" si="18"/>
        <v>0.25636000000000003</v>
      </c>
      <c r="I204" s="168">
        <f t="shared" si="19"/>
        <v>2.1528384279475982E-4</v>
      </c>
    </row>
    <row r="205" spans="2:9" x14ac:dyDescent="0.2">
      <c r="B205" s="319" t="str">
        <f>'ن-فرعي'!B319</f>
        <v xml:space="preserve">مجموع الفصل الثالث: الآليات والأجهزة والمعدات </v>
      </c>
      <c r="C205" s="319"/>
      <c r="D205" s="57">
        <f>SUM(D195:D204)</f>
        <v>200000</v>
      </c>
      <c r="E205" s="57">
        <f>SUM(E195:E204)</f>
        <v>200000</v>
      </c>
      <c r="F205" s="57">
        <f t="shared" ref="F205:G205" si="20">SUM(F195:F204)</f>
        <v>10533.7</v>
      </c>
      <c r="G205" s="57">
        <f t="shared" si="20"/>
        <v>8175</v>
      </c>
      <c r="H205" s="167">
        <f t="shared" si="18"/>
        <v>5.2668500000000007E-2</v>
      </c>
      <c r="I205" s="168">
        <f t="shared" si="19"/>
        <v>2.9486339715597361E-4</v>
      </c>
    </row>
    <row r="206" spans="2:9" x14ac:dyDescent="0.2">
      <c r="B206" s="334" t="str">
        <f>'ن-فرعي'!B320:I320</f>
        <v>الفصل الرابع: الأبنية والمشاريع الإنمائية</v>
      </c>
      <c r="C206" s="334"/>
      <c r="D206" s="334"/>
      <c r="E206" s="334"/>
      <c r="F206" s="334"/>
      <c r="G206" s="334"/>
      <c r="H206" s="334"/>
      <c r="I206" s="334"/>
    </row>
    <row r="207" spans="2:9" x14ac:dyDescent="0.2">
      <c r="B207" s="180">
        <f>IF('ن-فرعي'!D322&gt;0,'ن-فرعي'!D322,"")</f>
        <v>26501001</v>
      </c>
      <c r="C207" s="16" t="str">
        <f>IF('ن-فرعي'!E322&gt;0,'ن-فرعي'!E322,"")</f>
        <v>مبنى كلية الهندسة</v>
      </c>
      <c r="D207" s="88">
        <f>IF('ن-فرعي'!F322&gt;0,'ن-فرعي'!F322,"")</f>
        <v>150000</v>
      </c>
      <c r="E207" s="88">
        <f>IF('ن-فرعي'!G322&gt;0,'ن-فرعي'!G322,"")</f>
        <v>150000</v>
      </c>
      <c r="F207" s="177" t="str">
        <f>IF('ن-فرعي'!H322&gt;0,'ن-فرعي'!H322,"")</f>
        <v/>
      </c>
      <c r="G207" s="88">
        <f>IF('ن-فرعي'!I322&gt;0,'ن-فرعي'!I322,"")</f>
        <v>120879.181</v>
      </c>
      <c r="H207" s="167" t="str">
        <f t="shared" si="18"/>
        <v/>
      </c>
      <c r="I207" s="168" t="str">
        <f t="shared" si="19"/>
        <v/>
      </c>
    </row>
    <row r="208" spans="2:9" x14ac:dyDescent="0.2">
      <c r="B208" s="180">
        <f>IF('ن-فرعي'!D323&gt;0,'ن-فرعي'!D323,"")</f>
        <v>26501002</v>
      </c>
      <c r="C208" s="16" t="str">
        <f>IF('ن-فرعي'!E323&gt;0,'ن-فرعي'!E323,"")</f>
        <v>مبنى كلية إدارة المال والأعمال</v>
      </c>
      <c r="D208" s="88">
        <f>IF('ن-فرعي'!F323&gt;0,'ن-فرعي'!F323,"")</f>
        <v>150000</v>
      </c>
      <c r="E208" s="88">
        <f>IF('ن-فرعي'!G323&gt;0,'ن-فرعي'!G323,"")</f>
        <v>150000</v>
      </c>
      <c r="F208" s="177" t="str">
        <f>IF('ن-فرعي'!H323&gt;0,'ن-فرعي'!H323,"")</f>
        <v/>
      </c>
      <c r="G208" s="88">
        <f>IF('ن-فرعي'!I323&gt;0,'ن-فرعي'!I323,"")</f>
        <v>2381.0070000000001</v>
      </c>
      <c r="H208" s="167" t="str">
        <f t="shared" si="18"/>
        <v/>
      </c>
      <c r="I208" s="168" t="str">
        <f t="shared" si="19"/>
        <v/>
      </c>
    </row>
    <row r="209" spans="2:9" s="37" customFormat="1" x14ac:dyDescent="0.2">
      <c r="B209" s="180">
        <f>IF('ن-فرعي'!D326&gt;0,'ن-فرعي'!D326,"")</f>
        <v>26505001</v>
      </c>
      <c r="C209" s="16" t="str">
        <f>IF('ن-فرعي'!E326&gt;0,'ن-فرعي'!E326,"")</f>
        <v>إعداد المخططات الأولية لمشاريع وأبنية مستقبلية وأجهزة للمرسم الهندسي</v>
      </c>
      <c r="D209" s="88">
        <f>IF('ن-فرعي'!F326&gt;0,'ن-فرعي'!F326,"")</f>
        <v>15000</v>
      </c>
      <c r="E209" s="88">
        <f>IF('ن-فرعي'!G326&gt;0,'ن-فرعي'!G326,"")</f>
        <v>15000</v>
      </c>
      <c r="F209" s="177">
        <f>IF('ن-فرعي'!H326&gt;0,'ن-فرعي'!H326,"")</f>
        <v>603.20000000000005</v>
      </c>
      <c r="G209" s="88">
        <f>IF('ن-فرعي'!I326&gt;0,'ن-فرعي'!I326,"")</f>
        <v>7000</v>
      </c>
      <c r="H209" s="167">
        <f t="shared" si="18"/>
        <v>4.0213333333333337E-2</v>
      </c>
      <c r="I209" s="168">
        <f t="shared" si="19"/>
        <v>1.6885007278020378E-5</v>
      </c>
    </row>
    <row r="210" spans="2:9" x14ac:dyDescent="0.2">
      <c r="B210" s="319" t="str">
        <f>'ن-فرعي'!B328</f>
        <v>مجموع الفصل الرابع: الأبنية والمشاريع الإنمائية</v>
      </c>
      <c r="C210" s="319"/>
      <c r="D210" s="57">
        <f>SUM(D207:D209)</f>
        <v>315000</v>
      </c>
      <c r="E210" s="57">
        <f>SUM(E207:E209)</f>
        <v>315000</v>
      </c>
      <c r="F210" s="57">
        <f>SUM(F207:F209)</f>
        <v>603.20000000000005</v>
      </c>
      <c r="G210" s="57">
        <f>SUM(G207:G209)</f>
        <v>130260.18799999999</v>
      </c>
      <c r="H210" s="167">
        <f t="shared" si="18"/>
        <v>1.914920634920635E-3</v>
      </c>
      <c r="I210" s="168">
        <f t="shared" si="19"/>
        <v>1.6885007278020378E-5</v>
      </c>
    </row>
    <row r="211" spans="2:9" x14ac:dyDescent="0.2">
      <c r="B211" s="334" t="str">
        <f>'ن-فرعي'!B329:I329</f>
        <v xml:space="preserve">الفصل الخامس: الأشغال والمرافق العامة </v>
      </c>
      <c r="C211" s="334"/>
      <c r="D211" s="334"/>
      <c r="E211" s="334"/>
      <c r="F211" s="334"/>
      <c r="G211" s="334"/>
      <c r="H211" s="334"/>
      <c r="I211" s="334"/>
    </row>
    <row r="212" spans="2:9" x14ac:dyDescent="0.2">
      <c r="B212" s="180">
        <f>IF('ن-فرعي'!D331&gt;0,'ن-فرعي'!D331,"")</f>
        <v>26601068</v>
      </c>
      <c r="C212" s="16" t="str">
        <f>IF('ن-فرعي'!E331&gt;0,'ن-فرعي'!E331,"")</f>
        <v>مشروع تجهيز الاستاد الرياضي (ملعب كرة القدم وألعاب القوى)</v>
      </c>
      <c r="D212" s="88">
        <f>IF('ن-فرعي'!F331&gt;0,'ن-فرعي'!F331,"")</f>
        <v>50000</v>
      </c>
      <c r="E212" s="88">
        <f>IF('ن-فرعي'!G331&gt;0,'ن-فرعي'!G331,"")</f>
        <v>10000</v>
      </c>
      <c r="F212" s="177" t="str">
        <f>IF('ن-فرعي'!H331&gt;0,'ن-فرعي'!H331,"")</f>
        <v/>
      </c>
      <c r="G212" s="88" t="str">
        <f>IF('ن-فرعي'!I331&gt;0,'ن-فرعي'!I331,"")</f>
        <v/>
      </c>
      <c r="H212" s="167" t="str">
        <f t="shared" si="18"/>
        <v/>
      </c>
      <c r="I212" s="168" t="str">
        <f t="shared" si="19"/>
        <v/>
      </c>
    </row>
    <row r="213" spans="2:9" x14ac:dyDescent="0.2">
      <c r="B213" s="180">
        <f>IF('ن-فرعي'!D334&gt;0,'ن-فرعي'!D334,"")</f>
        <v>26602001</v>
      </c>
      <c r="C213" s="16" t="str">
        <f>IF('ن-فرعي'!E334&gt;0,'ن-فرعي'!E334,"")</f>
        <v>حفر بئر داخل الحرم الجامعي</v>
      </c>
      <c r="D213" s="88">
        <f>IF('ن-فرعي'!F334&gt;0,'ن-فرعي'!F334,"")</f>
        <v>150000</v>
      </c>
      <c r="E213" s="88">
        <f>IF('ن-فرعي'!G334&gt;0,'ن-فرعي'!G334,"")</f>
        <v>225000</v>
      </c>
      <c r="F213" s="177">
        <f>IF('ن-فرعي'!H334&gt;0,'ن-فرعي'!H334,"")</f>
        <v>154666</v>
      </c>
      <c r="G213" s="88">
        <f>IF('ن-فرعي'!I334&gt;0,'ن-فرعي'!I334,"")</f>
        <v>57034</v>
      </c>
      <c r="H213" s="167">
        <f t="shared" si="18"/>
        <v>0.68740444444444448</v>
      </c>
      <c r="I213" s="168">
        <f t="shared" si="19"/>
        <v>4.3294703840555367E-3</v>
      </c>
    </row>
    <row r="214" spans="2:9" x14ac:dyDescent="0.2">
      <c r="B214" s="180">
        <f>IF('ن-فرعي'!D335&gt;0,'ن-فرعي'!D335,"")</f>
        <v>26602004</v>
      </c>
      <c r="C214" s="16" t="str">
        <f>IF('ن-فرعي'!E335&gt;0,'ن-فرعي'!E335,"")</f>
        <v xml:space="preserve">خطوط مياه الري والشرب </v>
      </c>
      <c r="D214" s="88">
        <f>IF('ن-فرعي'!F335&gt;0,'ن-فرعي'!F335,"")</f>
        <v>10000</v>
      </c>
      <c r="E214" s="88">
        <f>IF('ن-فرعي'!G335&gt;0,'ن-فرعي'!G335,"")</f>
        <v>10000</v>
      </c>
      <c r="F214" s="177">
        <f>IF('ن-فرعي'!H335&gt;0,'ن-فرعي'!H335,"")</f>
        <v>4284.6499999999996</v>
      </c>
      <c r="G214" s="88" t="str">
        <f>IF('ن-فرعي'!I335&gt;0,'ن-فرعي'!I335,"")</f>
        <v/>
      </c>
      <c r="H214" s="167">
        <f t="shared" si="18"/>
        <v>0.42846499999999998</v>
      </c>
      <c r="I214" s="168">
        <f t="shared" si="19"/>
        <v>1.1993757697906168E-4</v>
      </c>
    </row>
    <row r="215" spans="2:9" x14ac:dyDescent="0.2">
      <c r="B215" s="180">
        <f>IF('ن-فرعي'!D336&gt;0,'ن-فرعي'!D336,"")</f>
        <v>26602005</v>
      </c>
      <c r="C215" s="16" t="str">
        <f>IF('ن-فرعي'!E336&gt;0,'ن-فرعي'!E336,"")</f>
        <v>تطوير بركة الحصاد المائي (أجهزة ومعدات)</v>
      </c>
      <c r="D215" s="88">
        <f>IF('ن-فرعي'!F336&gt;0,'ن-فرعي'!F336,"")</f>
        <v>10000</v>
      </c>
      <c r="E215" s="88">
        <f>IF('ن-فرعي'!G336&gt;0,'ن-فرعي'!G336,"")</f>
        <v>10000</v>
      </c>
      <c r="F215" s="177" t="str">
        <f>IF('ن-فرعي'!H336&gt;0,'ن-فرعي'!H336,"")</f>
        <v/>
      </c>
      <c r="G215" s="88" t="str">
        <f>IF('ن-فرعي'!I336&gt;0,'ن-فرعي'!I336,"")</f>
        <v/>
      </c>
      <c r="H215" s="167" t="str">
        <f t="shared" si="18"/>
        <v/>
      </c>
      <c r="I215" s="168" t="str">
        <f t="shared" si="19"/>
        <v/>
      </c>
    </row>
    <row r="216" spans="2:9" x14ac:dyDescent="0.2">
      <c r="B216" s="180">
        <f>IF('ن-فرعي'!D337&gt;0,'ن-فرعي'!D337,"")</f>
        <v>26602006</v>
      </c>
      <c r="C216" s="16" t="str">
        <f>IF('ن-فرعي'!E337&gt;0,'ن-فرعي'!E337,"")</f>
        <v>تطوير محطة التنقية (أجهزة ومعدات)</v>
      </c>
      <c r="D216" s="88">
        <f>IF('ن-فرعي'!F337&gt;0,'ن-فرعي'!F337,"")</f>
        <v>20000</v>
      </c>
      <c r="E216" s="88">
        <f>IF('ن-فرعي'!G337&gt;0,'ن-فرعي'!G337,"")</f>
        <v>20000</v>
      </c>
      <c r="F216" s="177">
        <f>IF('ن-فرعي'!H337&gt;0,'ن-فرعي'!H337,"")</f>
        <v>800</v>
      </c>
      <c r="G216" s="88" t="str">
        <f>IF('ن-فرعي'!I337&gt;0,'ن-فرعي'!I337,"")</f>
        <v/>
      </c>
      <c r="H216" s="167">
        <f t="shared" si="18"/>
        <v>0.04</v>
      </c>
      <c r="I216" s="168">
        <f t="shared" si="19"/>
        <v>2.2393908856790954E-5</v>
      </c>
    </row>
    <row r="217" spans="2:9" x14ac:dyDescent="0.2">
      <c r="B217" s="180">
        <f>IF('ن-فرعي'!D338&gt;0,'ن-فرعي'!D338,"")</f>
        <v>26602007</v>
      </c>
      <c r="C217" s="137" t="str">
        <f>IF('ن-فرعي'!E338&gt;0,'ن-فرعي'!E338,"")</f>
        <v>أشتال زراعية لتجميل الحرم الجامعي وحاجة مشتل نباتات الزينة</v>
      </c>
      <c r="D217" s="88">
        <f>IF('ن-فرعي'!F338&gt;0,'ن-فرعي'!F338,"")</f>
        <v>5000</v>
      </c>
      <c r="E217" s="88">
        <f>IF('ن-فرعي'!G338&gt;0,'ن-فرعي'!G338,"")</f>
        <v>5000</v>
      </c>
      <c r="F217" s="177">
        <f>IF('ن-فرعي'!H338&gt;0,'ن-فرعي'!H338,"")</f>
        <v>2989.65</v>
      </c>
      <c r="G217" s="88" t="str">
        <f>IF('ن-فرعي'!I338&gt;0,'ن-فرعي'!I338,"")</f>
        <v/>
      </c>
      <c r="H217" s="167">
        <f t="shared" si="18"/>
        <v>0.59793000000000007</v>
      </c>
      <c r="I217" s="168">
        <f t="shared" si="19"/>
        <v>8.3687437017131345E-5</v>
      </c>
    </row>
    <row r="218" spans="2:9" s="37" customFormat="1" x14ac:dyDescent="0.2">
      <c r="B218" s="181">
        <f>IF('ن-فرعي'!D339&gt;0,'ن-فرعي'!D339,"")</f>
        <v>26602008</v>
      </c>
      <c r="C218" s="137" t="str">
        <f>IF('ن-فرعي'!E339&gt;0,'ن-فرعي'!E339,"")</f>
        <v>انشاء محطة تحلية وتعقيم  للمياه</v>
      </c>
      <c r="D218" s="97">
        <f>IF('ن-فرعي'!F339&gt;0,'ن-فرعي'!F339,"")</f>
        <v>30000</v>
      </c>
      <c r="E218" s="97">
        <f>IF('ن-فرعي'!G339&gt;0,'ن-فرعي'!G339,"")</f>
        <v>20000</v>
      </c>
      <c r="F218" s="177" t="str">
        <f>IF('ن-فرعي'!H339&gt;0,'ن-فرعي'!H339,"")</f>
        <v/>
      </c>
      <c r="G218" s="97" t="str">
        <f>IF('ن-فرعي'!I339&gt;0,'ن-فرعي'!I339,"")</f>
        <v/>
      </c>
      <c r="H218" s="167" t="str">
        <f t="shared" si="18"/>
        <v/>
      </c>
      <c r="I218" s="168" t="str">
        <f t="shared" si="19"/>
        <v/>
      </c>
    </row>
    <row r="219" spans="2:9" x14ac:dyDescent="0.2">
      <c r="B219" s="180">
        <f>IF('ن-فرعي'!D342&gt;0,'ن-فرعي'!D342,"")</f>
        <v>26603002</v>
      </c>
      <c r="C219" s="137" t="str">
        <f>IF('ن-فرعي'!E342&gt;0,'ن-فرعي'!E342,"")</f>
        <v>تطوير وتوسعة البنية التحتية (طرق وأرصفة وساحات وأعمال مختلفة)</v>
      </c>
      <c r="D219" s="88">
        <f>IF('ن-فرعي'!F342&gt;0,'ن-فرعي'!F342,"")</f>
        <v>40000</v>
      </c>
      <c r="E219" s="88">
        <f>IF('ن-فرعي'!G342&gt;0,'ن-فرعي'!G342,"")</f>
        <v>15000</v>
      </c>
      <c r="F219" s="177" t="str">
        <f>IF('ن-فرعي'!H342&gt;0,'ن-فرعي'!H342,"")</f>
        <v/>
      </c>
      <c r="G219" s="88" t="str">
        <f>IF('ن-فرعي'!I342&gt;0,'ن-فرعي'!I342,"")</f>
        <v/>
      </c>
      <c r="H219" s="167" t="str">
        <f t="shared" si="18"/>
        <v/>
      </c>
      <c r="I219" s="168" t="str">
        <f t="shared" si="19"/>
        <v/>
      </c>
    </row>
    <row r="220" spans="2:9" x14ac:dyDescent="0.2">
      <c r="B220" s="319" t="str">
        <f>'ن-فرعي'!B344</f>
        <v>مجموع الفصل الخامس: الأشغال والمرافق العامة</v>
      </c>
      <c r="C220" s="319"/>
      <c r="D220" s="57">
        <f>SUM(D212:D219)</f>
        <v>315000</v>
      </c>
      <c r="E220" s="57">
        <f>SUM(E212:E219)</f>
        <v>315000</v>
      </c>
      <c r="F220" s="57">
        <f>SUM(F212:F219)</f>
        <v>162740.29999999999</v>
      </c>
      <c r="G220" s="57">
        <f>SUM(G212:G219)</f>
        <v>57034</v>
      </c>
      <c r="H220" s="167">
        <f t="shared" si="18"/>
        <v>0.51663587301587299</v>
      </c>
      <c r="I220" s="168">
        <f t="shared" si="19"/>
        <v>4.5554893069085205E-3</v>
      </c>
    </row>
    <row r="221" spans="2:9" x14ac:dyDescent="0.2">
      <c r="B221" s="334" t="str">
        <f>'ن-فرعي'!B345:I345</f>
        <v>الفصل السادس: نفقات الالتزامات الرأسمالية المدورة</v>
      </c>
      <c r="C221" s="334"/>
      <c r="D221" s="334"/>
      <c r="E221" s="334"/>
      <c r="F221" s="334"/>
      <c r="G221" s="334"/>
      <c r="H221" s="334"/>
      <c r="I221" s="334"/>
    </row>
    <row r="222" spans="2:9" x14ac:dyDescent="0.2">
      <c r="B222" s="180">
        <f>IF('ن-فرعي'!D347&gt;0,'ن-فرعي'!D347,"")</f>
        <v>27001001</v>
      </c>
      <c r="C222" s="16" t="str">
        <f>IF('ن-فرعي'!E347&gt;0,'ن-فرعي'!E347,"")</f>
        <v>التزامات نفقات رأسمالية مدورة / حجوزات من سنوات سابقة</v>
      </c>
      <c r="D222" s="88">
        <f>IF('ن-فرعي'!F347&gt;0,'ن-فرعي'!F347,"")</f>
        <v>884000</v>
      </c>
      <c r="E222" s="88">
        <f>IF('ن-فرعي'!G347&gt;0,'ن-فرعي'!G347,"")</f>
        <v>884000</v>
      </c>
      <c r="F222" s="177">
        <f>IF('ن-فرعي'!H347&gt;0,'ن-فرعي'!H347,"")</f>
        <v>64707.563000000002</v>
      </c>
      <c r="G222" s="88">
        <f>IF('ن-فرعي'!I347&gt;0,'ن-فرعي'!I347,"")</f>
        <v>582664.179</v>
      </c>
      <c r="H222" s="167">
        <f t="shared" si="18"/>
        <v>7.3198600678733031E-2</v>
      </c>
      <c r="I222" s="168">
        <f t="shared" si="19"/>
        <v>1.8113190852088233E-3</v>
      </c>
    </row>
    <row r="223" spans="2:9" x14ac:dyDescent="0.2">
      <c r="B223" s="319" t="str">
        <f>'ن-فرعي'!B349</f>
        <v>مجموع الفصل السادس: نفقات الالتزامات الرأسمالية المدورة</v>
      </c>
      <c r="C223" s="319"/>
      <c r="D223" s="57">
        <f>SUM(D222)</f>
        <v>884000</v>
      </c>
      <c r="E223" s="57">
        <f t="shared" ref="E223:G223" si="21">SUM(E222)</f>
        <v>884000</v>
      </c>
      <c r="F223" s="57">
        <f t="shared" si="21"/>
        <v>64707.563000000002</v>
      </c>
      <c r="G223" s="57">
        <f t="shared" si="21"/>
        <v>582664.179</v>
      </c>
      <c r="H223" s="167">
        <f t="shared" si="18"/>
        <v>7.3198600678733031E-2</v>
      </c>
      <c r="I223" s="168">
        <f t="shared" si="19"/>
        <v>1.8113190852088233E-3</v>
      </c>
    </row>
    <row r="224" spans="2:9" x14ac:dyDescent="0.2">
      <c r="B224" s="339" t="str">
        <f>'ن-فرعي'!B350</f>
        <v>مجموع الباب الرابع: النفقات الرأسمالية</v>
      </c>
      <c r="C224" s="339"/>
      <c r="D224" s="52">
        <f>D179+D193+D205+D210+D220+D223</f>
        <v>2193500</v>
      </c>
      <c r="E224" s="52">
        <f>E179+E193+E205+E210+E220+E223</f>
        <v>2193500</v>
      </c>
      <c r="F224" s="52">
        <f>F179+F193+F205+F210+F220+F223</f>
        <v>315434.163</v>
      </c>
      <c r="G224" s="52">
        <f>G179+G193+G205+G210+G220+G223</f>
        <v>930605.01699999999</v>
      </c>
      <c r="H224" s="167">
        <f t="shared" si="18"/>
        <v>0.14380404057442445</v>
      </c>
      <c r="I224" s="168">
        <f t="shared" si="19"/>
        <v>8.8297548706751765E-3</v>
      </c>
    </row>
    <row r="225" spans="2:9" x14ac:dyDescent="0.2">
      <c r="B225" s="342" t="str">
        <f>'ن-فرعي'!B351:E351</f>
        <v>المجموع العام للموازنة</v>
      </c>
      <c r="C225" s="342"/>
      <c r="D225" s="81">
        <f>D123+D164+D170+D224</f>
        <v>35724000</v>
      </c>
      <c r="E225" s="81">
        <f>E123+E164+E170+E224</f>
        <v>35724000</v>
      </c>
      <c r="F225" s="81">
        <f>F123+F164+F170+F224</f>
        <v>27676612.609000005</v>
      </c>
      <c r="G225" s="81">
        <f>G123+G164+G170+G224</f>
        <v>2902086.4960000003</v>
      </c>
      <c r="H225" s="167">
        <f t="shared" si="18"/>
        <v>0.7747344252883217</v>
      </c>
      <c r="I225" s="168">
        <f t="shared" si="19"/>
        <v>0.7747344252883217</v>
      </c>
    </row>
    <row r="226" spans="2:9" s="11" customFormat="1" x14ac:dyDescent="0.2">
      <c r="B226" s="315"/>
      <c r="C226" s="315"/>
      <c r="D226" s="315"/>
      <c r="E226" s="315"/>
      <c r="F226" s="315"/>
      <c r="G226" s="315"/>
      <c r="H226" s="211"/>
      <c r="I226" s="207"/>
    </row>
    <row r="227" spans="2:9" s="11" customFormat="1" x14ac:dyDescent="0.2">
      <c r="B227" s="315" t="s">
        <v>516</v>
      </c>
      <c r="C227" s="315"/>
      <c r="D227" s="328">
        <v>2020</v>
      </c>
      <c r="E227" s="328"/>
      <c r="F227" s="328"/>
      <c r="G227" s="328"/>
      <c r="H227" s="328"/>
      <c r="I227" s="328"/>
    </row>
    <row r="228" spans="2:9" x14ac:dyDescent="0.2">
      <c r="B228" s="309" t="str">
        <f>'ن-فرعي'!B355:I355</f>
        <v>الباب الأول: الاستخدامات</v>
      </c>
      <c r="C228" s="309"/>
      <c r="D228" s="309"/>
      <c r="E228" s="309"/>
      <c r="F228" s="309"/>
      <c r="G228" s="309"/>
      <c r="H228" s="309"/>
      <c r="I228" s="309"/>
    </row>
    <row r="229" spans="2:9" x14ac:dyDescent="0.2">
      <c r="B229" s="334" t="str">
        <f>'ن-فرعي'!B356:I356</f>
        <v>تسديد عجز الموازنة الحالي وذمة عجز موازنة التمويل المتراكم والقروض المستحقة</v>
      </c>
      <c r="C229" s="334"/>
      <c r="D229" s="334"/>
      <c r="E229" s="334"/>
      <c r="F229" s="334"/>
      <c r="G229" s="334"/>
      <c r="H229" s="334"/>
      <c r="I229" s="334"/>
    </row>
    <row r="230" spans="2:9" s="37" customFormat="1" x14ac:dyDescent="0.2">
      <c r="B230" s="181">
        <f>IF('ن-فرعي'!D358&gt;0,'ن-فرعي'!D358,"")</f>
        <v>27201001</v>
      </c>
      <c r="C230" s="110" t="str">
        <f>IF('ن-فرعي'!E358&gt;0,'ن-فرعي'!E358,"")</f>
        <v>تسديد قرض صندوق الادخار/جامعة آل البيت (المستحق)</v>
      </c>
      <c r="D230" s="97">
        <f>IF('ن-فرعي'!F358&gt;0,'ن-فرعي'!F358,"")</f>
        <v>1900000</v>
      </c>
      <c r="E230" s="97">
        <f>IF('ن-فرعي'!G358&gt;0,'ن-فرعي'!G358,"")</f>
        <v>1900000</v>
      </c>
      <c r="F230" s="177" t="str">
        <f>IF('ن-فرعي'!H358&gt;0,'ن-فرعي'!H358,"")</f>
        <v/>
      </c>
      <c r="G230" s="97" t="str">
        <f>IF('ن-فرعي'!I358&gt;0,'ن-فرعي'!I358,"")</f>
        <v/>
      </c>
      <c r="H230" s="167" t="str">
        <f>IFERROR(F230/E230,"")</f>
        <v/>
      </c>
      <c r="I230" s="168" t="str">
        <f>IFERROR(F230/$E$235,"")</f>
        <v/>
      </c>
    </row>
    <row r="231" spans="2:9" s="37" customFormat="1" x14ac:dyDescent="0.2">
      <c r="B231" s="181">
        <f>IF('ن-فرعي'!D359&gt;0,'ن-فرعي'!D359,"")</f>
        <v>27201002</v>
      </c>
      <c r="C231" s="110" t="str">
        <f>IF('ن-فرعي'!E359&gt;0,'ن-فرعي'!E359,"")</f>
        <v>تسديد سلفة وزارة المالية</v>
      </c>
      <c r="D231" s="97">
        <f>IF('ن-فرعي'!F359&gt;0,'ن-فرعي'!F359,"")</f>
        <v>500000</v>
      </c>
      <c r="E231" s="97">
        <f>IF('ن-فرعي'!G359&gt;0,'ن-فرعي'!G359,"")</f>
        <v>500000</v>
      </c>
      <c r="F231" s="177" t="str">
        <f>IF('ن-فرعي'!H359&gt;0,'ن-فرعي'!H359,"")</f>
        <v/>
      </c>
      <c r="G231" s="97" t="str">
        <f>IF('ن-فرعي'!I359&gt;0,'ن-فرعي'!I359,"")</f>
        <v/>
      </c>
      <c r="H231" s="167" t="str">
        <f t="shared" ref="H231:H235" si="22">IFERROR(F231/E231,"")</f>
        <v/>
      </c>
      <c r="I231" s="168" t="str">
        <f t="shared" ref="I231:I235" si="23">IFERROR(F231/$E$235,"")</f>
        <v/>
      </c>
    </row>
    <row r="232" spans="2:9" s="37" customFormat="1" x14ac:dyDescent="0.2">
      <c r="B232" s="181">
        <f>IF('ن-فرعي'!D360&gt;0,'ن-فرعي'!D360,"")</f>
        <v>28001001</v>
      </c>
      <c r="C232" s="110" t="str">
        <f>IF('ن-فرعي'!E360&gt;0,'ن-فرعي'!E360,"")</f>
        <v>تسديد عجز موازنة السنة المالية الحالية</v>
      </c>
      <c r="D232" s="97">
        <f>IF('ن-فرعي'!F360&gt;0,'ن-فرعي'!F360,"")</f>
        <v>5314000</v>
      </c>
      <c r="E232" s="97">
        <f>IF('ن-فرعي'!G360&gt;0,'ن-فرعي'!G360,"")</f>
        <v>5314000</v>
      </c>
      <c r="F232" s="177">
        <f>IF('ن-فرعي'!H360&gt;0,'ن-فرعي'!H360,"")</f>
        <v>107525.73000000417</v>
      </c>
      <c r="G232" s="97" t="str">
        <f>IF('ن-فرعي'!I360&gt;0,'ن-فرعي'!I360,"")</f>
        <v/>
      </c>
      <c r="H232" s="167">
        <f t="shared" si="22"/>
        <v>2.0234424162590171E-2</v>
      </c>
      <c r="I232" s="168">
        <f t="shared" si="23"/>
        <v>4.6568094413167683E-3</v>
      </c>
    </row>
    <row r="233" spans="2:9" s="37" customFormat="1" x14ac:dyDescent="0.2">
      <c r="B233" s="181">
        <f>IF('ن-فرعي'!D361&gt;0,'ن-فرعي'!D361,"")</f>
        <v>28101006</v>
      </c>
      <c r="C233" s="110" t="str">
        <f>IF('ن-فرعي'!E361&gt;0,'ن-فرعي'!E361,"")</f>
        <v>تسديد ذمة عجز موازنة التمويل المتراكم</v>
      </c>
      <c r="D233" s="97">
        <f>IF('ن-فرعي'!F361&gt;0,'ن-فرعي'!F361,"")</f>
        <v>15376000</v>
      </c>
      <c r="E233" s="97">
        <f>IF('ن-فرعي'!G361&gt;0,'ن-فرعي'!G361,"")</f>
        <v>15376000</v>
      </c>
      <c r="F233" s="177">
        <f>IF('ن-فرعي'!H361&gt;0,'ن-فرعي'!H361,"")</f>
        <v>15375481.875</v>
      </c>
      <c r="G233" s="97" t="str">
        <f>IF('ن-فرعي'!I361&gt;0,'ن-فرعي'!I361,"")</f>
        <v/>
      </c>
      <c r="H233" s="167">
        <f t="shared" si="22"/>
        <v>0.99996630300468259</v>
      </c>
      <c r="I233" s="168">
        <f t="shared" si="23"/>
        <v>0.66589354157643998</v>
      </c>
    </row>
    <row r="234" spans="2:9" x14ac:dyDescent="0.2">
      <c r="B234" s="319" t="str">
        <f>'ن-فرعي'!B362</f>
        <v>مجموع تسديد عجز الموازنة الحالي وذمة عجز موازنة التمويل المتراكم والقروض المستحقة</v>
      </c>
      <c r="C234" s="319"/>
      <c r="D234" s="57">
        <f>SUM(D230:D233)</f>
        <v>23090000</v>
      </c>
      <c r="E234" s="57">
        <f>SUM(E230:E233)</f>
        <v>23090000</v>
      </c>
      <c r="F234" s="57">
        <f>SUM(F230:F233)</f>
        <v>15483007.605000004</v>
      </c>
      <c r="G234" s="57">
        <f>SUM(G230:G233)</f>
        <v>0</v>
      </c>
      <c r="H234" s="167">
        <f t="shared" si="22"/>
        <v>0.67055035101775684</v>
      </c>
      <c r="I234" s="168">
        <f t="shared" si="23"/>
        <v>0.67055035101775684</v>
      </c>
    </row>
    <row r="235" spans="2:9" x14ac:dyDescent="0.2">
      <c r="B235" s="332" t="s">
        <v>525</v>
      </c>
      <c r="C235" s="332"/>
      <c r="D235" s="64">
        <f>SUM(D234)</f>
        <v>23090000</v>
      </c>
      <c r="E235" s="64">
        <f t="shared" ref="E235:G235" si="24">SUM(E234)</f>
        <v>23090000</v>
      </c>
      <c r="F235" s="64">
        <f t="shared" si="24"/>
        <v>15483007.605000004</v>
      </c>
      <c r="G235" s="64">
        <f t="shared" si="24"/>
        <v>0</v>
      </c>
      <c r="H235" s="167">
        <f t="shared" si="22"/>
        <v>0.67055035101775684</v>
      </c>
      <c r="I235" s="168">
        <f t="shared" si="23"/>
        <v>0.67055035101775684</v>
      </c>
    </row>
    <row r="236" spans="2:9" x14ac:dyDescent="0.2">
      <c r="B236" s="340"/>
      <c r="C236" s="340"/>
      <c r="D236" s="340"/>
      <c r="E236" s="340"/>
      <c r="F236" s="340"/>
      <c r="G236" s="340"/>
      <c r="H236" s="211"/>
      <c r="I236" s="205"/>
    </row>
    <row r="237" spans="2:9" x14ac:dyDescent="0.2">
      <c r="B237" s="315" t="s">
        <v>528</v>
      </c>
      <c r="C237" s="315"/>
      <c r="D237" s="328">
        <v>2020</v>
      </c>
      <c r="E237" s="328"/>
      <c r="F237" s="328"/>
      <c r="G237" s="328"/>
      <c r="H237" s="328"/>
      <c r="I237" s="328"/>
    </row>
    <row r="238" spans="2:9" x14ac:dyDescent="0.2">
      <c r="B238" s="309" t="s">
        <v>560</v>
      </c>
      <c r="C238" s="309"/>
      <c r="D238" s="309"/>
      <c r="E238" s="309"/>
      <c r="F238" s="309"/>
      <c r="G238" s="309"/>
      <c r="H238" s="309"/>
      <c r="I238" s="309"/>
    </row>
    <row r="239" spans="2:9" x14ac:dyDescent="0.2">
      <c r="B239" s="334" t="str">
        <f>'ن-فرعي'!B368:I368</f>
        <v>الفصل الأول: نفقات مشاريع وأجهزة وتجهيزات مشروطة بالتمويل</v>
      </c>
      <c r="C239" s="334"/>
      <c r="D239" s="334"/>
      <c r="E239" s="334"/>
      <c r="F239" s="334"/>
      <c r="G239" s="334"/>
      <c r="H239" s="334"/>
      <c r="I239" s="334"/>
    </row>
    <row r="240" spans="2:9" x14ac:dyDescent="0.2">
      <c r="B240" s="181">
        <f>IF('ن-فرعي'!D370&gt;0,'ن-فرعي'!D370,"")</f>
        <v>29301002</v>
      </c>
      <c r="C240" s="16" t="str">
        <f>IF('ن-فرعي'!E370&gt;0,'ن-فرعي'!E370,"")</f>
        <v>مشروع بناء كلية الهندسة/ مشروطة بالتمويل</v>
      </c>
      <c r="D240" s="88">
        <f>IF('ن-فرعي'!F370&gt;0,'ن-فرعي'!F370,"")</f>
        <v>500000</v>
      </c>
      <c r="E240" s="88">
        <f>IF('ن-فرعي'!G370&gt;0,'ن-فرعي'!G370,"")</f>
        <v>500000</v>
      </c>
      <c r="F240" s="177" t="str">
        <f>IF('ن-فرعي'!H370&gt;0,'ن-فرعي'!H370,"")</f>
        <v/>
      </c>
      <c r="G240" s="88">
        <f>IF('ن-فرعي'!I370&gt;0,'ن-فرعي'!I370,"")</f>
        <v>261649.818</v>
      </c>
      <c r="H240" s="167" t="str">
        <f>IFERROR(F240/D240,"")</f>
        <v/>
      </c>
      <c r="I240" s="168" t="str">
        <f>IFERROR(F240/$D$256,"")</f>
        <v/>
      </c>
    </row>
    <row r="241" spans="2:9" s="37" customFormat="1" x14ac:dyDescent="0.2">
      <c r="B241" s="181">
        <f>IF('ن-فرعي'!D371&gt;0,'ن-فرعي'!D371,"")</f>
        <v>29301006</v>
      </c>
      <c r="C241" s="16" t="str">
        <f>IF('ن-فرعي'!E371&gt;0,'ن-فرعي'!E371,"")</f>
        <v>مشروع بناء ملحق كلية التمريض/ المرحلة الثانية/ مشروطة بالتمويل</v>
      </c>
      <c r="D241" s="97">
        <f>IF('ن-فرعي'!F371&gt;0,'ن-فرعي'!F371,"")</f>
        <v>1500000</v>
      </c>
      <c r="E241" s="97">
        <f>IF('ن-فرعي'!G371&gt;0,'ن-فرعي'!G371,"")</f>
        <v>1500000</v>
      </c>
      <c r="F241" s="177" t="str">
        <f>IF('ن-فرعي'!H371&gt;0,'ن-فرعي'!H371,"")</f>
        <v/>
      </c>
      <c r="G241" s="97" t="str">
        <f>IF('ن-فرعي'!I371&gt;0,'ن-فرعي'!I371,"")</f>
        <v/>
      </c>
      <c r="H241" s="167" t="str">
        <f t="shared" ref="H241:H256" si="25">IFERROR(F241/D241,"")</f>
        <v/>
      </c>
      <c r="I241" s="168" t="str">
        <f t="shared" ref="I241:I256" si="26">IFERROR(F241/$D$256,"")</f>
        <v/>
      </c>
    </row>
    <row r="242" spans="2:9" x14ac:dyDescent="0.2">
      <c r="B242" s="181">
        <f>IF('ن-فرعي'!D372&gt;0,'ن-فرعي'!D372,"")</f>
        <v>29301019</v>
      </c>
      <c r="C242" s="16" t="str">
        <f>IF('ن-فرعي'!E372&gt;0,'ن-فرعي'!E372,"")</f>
        <v>مشروع بناء كلية ادارة المال والاعمال/ مشروطة بالتمويل</v>
      </c>
      <c r="D242" s="88">
        <f>IF('ن-فرعي'!F372&gt;0,'ن-فرعي'!F372,"")</f>
        <v>400000</v>
      </c>
      <c r="E242" s="88">
        <f>IF('ن-فرعي'!G372&gt;0,'ن-فرعي'!G372,"")</f>
        <v>400000</v>
      </c>
      <c r="F242" s="177">
        <f>IF('ن-فرعي'!H372&gt;0,'ن-فرعي'!H372,"")</f>
        <v>297425</v>
      </c>
      <c r="G242" s="88">
        <f>IF('ن-فرعي'!I372&gt;0,'ن-فرعي'!I372,"")</f>
        <v>1558.116</v>
      </c>
      <c r="H242" s="167">
        <f t="shared" si="25"/>
        <v>0.74356250000000002</v>
      </c>
      <c r="I242" s="168">
        <f t="shared" si="26"/>
        <v>3.4991176470588234E-2</v>
      </c>
    </row>
    <row r="243" spans="2:9" x14ac:dyDescent="0.2">
      <c r="B243" s="181">
        <f>IF('ن-فرعي'!D373&gt;0,'ن-فرعي'!D373,"")</f>
        <v>29301021</v>
      </c>
      <c r="C243" s="16" t="str">
        <f>IF('ن-فرعي'!E373&gt;0,'ن-فرعي'!E373,"")</f>
        <v>مشروع انشاء كلية طب/ مشروطة بالتمويل</v>
      </c>
      <c r="D243" s="88">
        <f>IF('ن-فرعي'!F373&gt;0,'ن-فرعي'!F373,"")</f>
        <v>1000000</v>
      </c>
      <c r="E243" s="88">
        <f>IF('ن-فرعي'!G373&gt;0,'ن-فرعي'!G373,"")</f>
        <v>135000</v>
      </c>
      <c r="F243" s="177" t="str">
        <f>IF('ن-فرعي'!H373&gt;0,'ن-فرعي'!H373,"")</f>
        <v/>
      </c>
      <c r="G243" s="88" t="str">
        <f>IF('ن-فرعي'!I373&gt;0,'ن-فرعي'!I373,"")</f>
        <v/>
      </c>
      <c r="H243" s="167" t="str">
        <f t="shared" si="25"/>
        <v/>
      </c>
      <c r="I243" s="168" t="str">
        <f t="shared" si="26"/>
        <v/>
      </c>
    </row>
    <row r="244" spans="2:9" s="37" customFormat="1" x14ac:dyDescent="0.2">
      <c r="B244" s="181">
        <f>IF('ن-فرعي'!D374&gt;0,'ن-فرعي'!D374,"")</f>
        <v>29301023</v>
      </c>
      <c r="C244" s="16" t="str">
        <f>IF('ن-فرعي'!E374&gt;0,'ن-فرعي'!E374,"")</f>
        <v>مبنى مركز الحاسوب/ مشروطة بالتمويل</v>
      </c>
      <c r="D244" s="88">
        <f>IF('ن-فرعي'!F374&gt;0,'ن-فرعي'!F374,"")</f>
        <v>75000</v>
      </c>
      <c r="E244" s="88">
        <f>IF('ن-فرعي'!G374&gt;0,'ن-فرعي'!G374,"")</f>
        <v>75000</v>
      </c>
      <c r="F244" s="177" t="str">
        <f>IF('ن-فرعي'!H374&gt;0,'ن-فرعي'!H374,"")</f>
        <v/>
      </c>
      <c r="G244" s="88" t="str">
        <f>IF('ن-فرعي'!I374&gt;0,'ن-فرعي'!I374,"")</f>
        <v/>
      </c>
      <c r="H244" s="167" t="str">
        <f t="shared" si="25"/>
        <v/>
      </c>
      <c r="I244" s="168" t="str">
        <f t="shared" si="26"/>
        <v/>
      </c>
    </row>
    <row r="245" spans="2:9" s="37" customFormat="1" x14ac:dyDescent="0.2">
      <c r="B245" s="181">
        <f>IF('ن-فرعي'!D375&gt;0,'ن-فرعي'!D375,"")</f>
        <v>29301026</v>
      </c>
      <c r="C245" s="16" t="str">
        <f>IF('ن-فرعي'!E375&gt;0,'ن-فرعي'!E375,"")</f>
        <v>مجمع القاعات التدريسية وقاعة المؤتمرات/ مشروطة بالتمويل</v>
      </c>
      <c r="D245" s="88">
        <f>IF('ن-فرعي'!F375&gt;0,'ن-فرعي'!F375,"")</f>
        <v>3000000</v>
      </c>
      <c r="E245" s="88">
        <f>IF('ن-فرعي'!G375&gt;0,'ن-فرعي'!G375,"")</f>
        <v>3000000</v>
      </c>
      <c r="F245" s="177" t="str">
        <f>IF('ن-فرعي'!H375&gt;0,'ن-فرعي'!H375,"")</f>
        <v/>
      </c>
      <c r="G245" s="88" t="str">
        <f>IF('ن-فرعي'!I375&gt;0,'ن-فرعي'!I375,"")</f>
        <v/>
      </c>
      <c r="H245" s="167" t="str">
        <f t="shared" si="25"/>
        <v/>
      </c>
      <c r="I245" s="168" t="str">
        <f t="shared" si="26"/>
        <v/>
      </c>
    </row>
    <row r="246" spans="2:9" s="37" customFormat="1" x14ac:dyDescent="0.2">
      <c r="B246" s="181">
        <f>IF('ن-فرعي'!D376&gt;0,'ن-فرعي'!D376,"")</f>
        <v>29301027</v>
      </c>
      <c r="C246" s="16" t="str">
        <f>IF('ن-فرعي'!E376&gt;0,'ن-فرعي'!E376,"")</f>
        <v>جمنازيوم رياضي متعدد الأغراض (تربية بدنية)/ مشروطة بالتمويل</v>
      </c>
      <c r="D246" s="88">
        <f>IF('ن-فرعي'!F376&gt;0,'ن-فرعي'!F376,"")</f>
        <v>180000</v>
      </c>
      <c r="E246" s="88">
        <f>IF('ن-فرعي'!G376&gt;0,'ن-فرعي'!G376,"")</f>
        <v>180000</v>
      </c>
      <c r="F246" s="177" t="str">
        <f>IF('ن-فرعي'!H376&gt;0,'ن-فرعي'!H376,"")</f>
        <v/>
      </c>
      <c r="G246" s="88" t="str">
        <f>IF('ن-فرعي'!I376&gt;0,'ن-فرعي'!I376,"")</f>
        <v/>
      </c>
      <c r="H246" s="167" t="str">
        <f t="shared" si="25"/>
        <v/>
      </c>
      <c r="I246" s="168" t="str">
        <f t="shared" si="26"/>
        <v/>
      </c>
    </row>
    <row r="247" spans="2:9" x14ac:dyDescent="0.2">
      <c r="B247" s="14">
        <f>IF('ن-فرعي'!D379&gt;0,'ن-فرعي'!D379,"")</f>
        <v>29302001</v>
      </c>
      <c r="C247" s="16" t="str">
        <f>IF('ن-فرعي'!E379&gt;0,'ن-فرعي'!E379,"")</f>
        <v>أجهزة حاسوب وملحقاتها/ مشروطة بالتمويل</v>
      </c>
      <c r="D247" s="88">
        <f>IF('ن-فرعي'!F379&gt;0,'ن-فرعي'!F379,"")</f>
        <v>100000</v>
      </c>
      <c r="E247" s="88">
        <f>IF('ن-فرعي'!G379&gt;0,'ن-فرعي'!G379,"")</f>
        <v>100000</v>
      </c>
      <c r="F247" s="177" t="str">
        <f>IF('ن-فرعي'!H379&gt;0,'ن-فرعي'!H379,"")</f>
        <v/>
      </c>
      <c r="G247" s="88">
        <f>IF('ن-فرعي'!I379&gt;0,'ن-فرعي'!I379,"")</f>
        <v>14000</v>
      </c>
      <c r="H247" s="167" t="str">
        <f t="shared" si="25"/>
        <v/>
      </c>
      <c r="I247" s="168" t="str">
        <f t="shared" si="26"/>
        <v/>
      </c>
    </row>
    <row r="248" spans="2:9" x14ac:dyDescent="0.2">
      <c r="B248" s="14">
        <f>IF('ن-فرعي'!D380&gt;0,'ن-فرعي'!D380,"")</f>
        <v>29302002</v>
      </c>
      <c r="C248" s="16" t="str">
        <f>IF('ن-فرعي'!E380&gt;0,'ن-فرعي'!E380,"")</f>
        <v>أجهزة وتجهيزات خاصة بالمختبرات/ مشروطة بالتمويل</v>
      </c>
      <c r="D248" s="88">
        <f>IF('ن-فرعي'!F380&gt;0,'ن-فرعي'!F380,"")</f>
        <v>100000</v>
      </c>
      <c r="E248" s="88">
        <f>IF('ن-فرعي'!G380&gt;0,'ن-فرعي'!G380,"")</f>
        <v>100000</v>
      </c>
      <c r="F248" s="177" t="str">
        <f>IF('ن-فرعي'!H380&gt;0,'ن-فرعي'!H380,"")</f>
        <v/>
      </c>
      <c r="G248" s="88" t="str">
        <f>IF('ن-فرعي'!I380&gt;0,'ن-فرعي'!I380,"")</f>
        <v/>
      </c>
      <c r="H248" s="167" t="str">
        <f t="shared" si="25"/>
        <v/>
      </c>
      <c r="I248" s="168" t="str">
        <f t="shared" si="26"/>
        <v/>
      </c>
    </row>
    <row r="249" spans="2:9" x14ac:dyDescent="0.2">
      <c r="B249" s="14">
        <f>IF('ن-فرعي'!D381&gt;0,'ن-فرعي'!D381,"")</f>
        <v>29302003</v>
      </c>
      <c r="C249" s="16" t="str">
        <f>IF('ن-فرعي'!E381&gt;0,'ن-فرعي'!E381,"")</f>
        <v>أجهزة وتجهيزات متنوعة/ مشروطة بالتمويل</v>
      </c>
      <c r="D249" s="88">
        <f>IF('ن-فرعي'!F381&gt;0,'ن-فرعي'!F381,"")</f>
        <v>100000</v>
      </c>
      <c r="E249" s="88">
        <f>IF('ن-فرعي'!G381&gt;0,'ن-فرعي'!G381,"")</f>
        <v>100000</v>
      </c>
      <c r="F249" s="177" t="str">
        <f>IF('ن-فرعي'!H381&gt;0,'ن-فرعي'!H381,"")</f>
        <v/>
      </c>
      <c r="G249" s="88" t="str">
        <f>IF('ن-فرعي'!I381&gt;0,'ن-فرعي'!I381,"")</f>
        <v/>
      </c>
      <c r="H249" s="167" t="str">
        <f t="shared" si="25"/>
        <v/>
      </c>
      <c r="I249" s="168" t="str">
        <f t="shared" si="26"/>
        <v/>
      </c>
    </row>
    <row r="250" spans="2:9" x14ac:dyDescent="0.2">
      <c r="B250" s="14">
        <f>IF('ن-فرعي'!D382&gt;0,'ن-فرعي'!D382,"")</f>
        <v>29302004</v>
      </c>
      <c r="C250" s="16" t="str">
        <f>IF('ن-فرعي'!E382&gt;0,'ن-فرعي'!E382,"")</f>
        <v>تطوير وتأهيل البنية التحتية للشبكات المختلفة/ مشروطة بالتمويل</v>
      </c>
      <c r="D250" s="88">
        <f>IF('ن-فرعي'!F382&gt;0,'ن-فرعي'!F382,"")</f>
        <v>100000</v>
      </c>
      <c r="E250" s="88">
        <f>IF('ن-فرعي'!G382&gt;0,'ن-فرعي'!G382,"")</f>
        <v>100000</v>
      </c>
      <c r="F250" s="177" t="str">
        <f>IF('ن-فرعي'!H382&gt;0,'ن-فرعي'!H382,"")</f>
        <v/>
      </c>
      <c r="G250" s="88">
        <f>IF('ن-فرعي'!I382&gt;0,'ن-فرعي'!I382,"")</f>
        <v>75000</v>
      </c>
      <c r="H250" s="167" t="str">
        <f t="shared" si="25"/>
        <v/>
      </c>
      <c r="I250" s="168" t="str">
        <f t="shared" si="26"/>
        <v/>
      </c>
    </row>
    <row r="251" spans="2:9" s="37" customFormat="1" x14ac:dyDescent="0.2">
      <c r="B251" s="14">
        <f>IF('ن-فرعي'!D383&gt;0,'ن-فرعي'!D383,"")</f>
        <v>29302005</v>
      </c>
      <c r="C251" s="16" t="str">
        <f>IF('ن-فرعي'!E383&gt;0,'ن-فرعي'!E383,"")</f>
        <v>تأهيل مسابح الجامعة والمسبح الأولمبي/ مشروطة بالتمويل</v>
      </c>
      <c r="D251" s="88">
        <f>IF('ن-فرعي'!F383&gt;0,'ن-فرعي'!F383,"")</f>
        <v>100000</v>
      </c>
      <c r="E251" s="88">
        <f>IF('ن-فرعي'!G383&gt;0,'ن-فرعي'!G383,"")</f>
        <v>100000</v>
      </c>
      <c r="F251" s="177">
        <f>IF('ن-فرعي'!H383&gt;0,'ن-فرعي'!H383,"")</f>
        <v>40304</v>
      </c>
      <c r="G251" s="88">
        <f>IF('ن-فرعي'!I383&gt;0,'ن-فرعي'!I383,"")</f>
        <v>50001</v>
      </c>
      <c r="H251" s="167">
        <f t="shared" si="25"/>
        <v>0.40304000000000001</v>
      </c>
      <c r="I251" s="168">
        <f t="shared" si="26"/>
        <v>4.7416470588235293E-3</v>
      </c>
    </row>
    <row r="252" spans="2:9" s="37" customFormat="1" x14ac:dyDescent="0.2">
      <c r="B252" s="14">
        <f>IF('ن-فرعي'!D384&gt;0,'ن-فرعي'!D384,"")</f>
        <v>29302006</v>
      </c>
      <c r="C252" s="16" t="str">
        <f>IF('ن-فرعي'!E384&gt;0,'ن-فرعي'!E384,"")</f>
        <v>PADILEIA - Partnership for Digital Learning &amp; Increased Access</v>
      </c>
      <c r="D252" s="88">
        <f>IF('ن-فرعي'!F384&gt;0,'ن-فرعي'!F384,"")</f>
        <v>1000000</v>
      </c>
      <c r="E252" s="88">
        <f>IF('ن-فرعي'!G384&gt;0,'ن-فرعي'!G384,"")</f>
        <v>1000000</v>
      </c>
      <c r="F252" s="177" t="str">
        <f>IF('ن-فرعي'!H384&gt;0,'ن-فرعي'!H384,"")</f>
        <v/>
      </c>
      <c r="G252" s="88" t="str">
        <f>IF('ن-فرعي'!I384&gt;0,'ن-فرعي'!I384,"")</f>
        <v/>
      </c>
      <c r="H252" s="167" t="str">
        <f t="shared" si="25"/>
        <v/>
      </c>
      <c r="I252" s="168" t="str">
        <f t="shared" si="26"/>
        <v/>
      </c>
    </row>
    <row r="253" spans="2:9" s="37" customFormat="1" x14ac:dyDescent="0.2">
      <c r="B253" s="14">
        <f>IF('ن-فرعي'!D385&gt;0,'ن-فرعي'!D385,"")</f>
        <v>29302007</v>
      </c>
      <c r="C253" s="16" t="str">
        <f>IF('ن-فرعي'!E385&gt;0,'ن-فرعي'!E385,"")</f>
        <v>مشروع الشبكة اللاسلكية/ مشروطة بالتمويل</v>
      </c>
      <c r="D253" s="88">
        <f>IF('ن-فرعي'!F385&gt;0,'ن-فرعي'!F385,"")</f>
        <v>200000</v>
      </c>
      <c r="E253" s="88">
        <f>IF('ن-فرعي'!G385&gt;0,'ن-فرعي'!G385,"")</f>
        <v>200000</v>
      </c>
      <c r="F253" s="177"/>
      <c r="G253" s="88"/>
      <c r="H253" s="167">
        <f t="shared" si="25"/>
        <v>0</v>
      </c>
      <c r="I253" s="168">
        <f t="shared" si="26"/>
        <v>0</v>
      </c>
    </row>
    <row r="254" spans="2:9" s="37" customFormat="1" x14ac:dyDescent="0.2">
      <c r="B254" s="14">
        <f>IF('ن-فرعي'!D386&gt;0,'ن-فرعي'!D386,"")</f>
        <v>29302008</v>
      </c>
      <c r="C254" s="16" t="str">
        <f>IF('ن-فرعي'!E386&gt;0,'ن-فرعي'!E386,"")</f>
        <v xml:space="preserve">تطوير الموقع الالكتروني مركز الحاسوب /منحة تعليم عالي </v>
      </c>
      <c r="D254" s="97">
        <f>IF('ن-فرعي'!F386&gt;0,'ن-فرعي'!F386,"")</f>
        <v>75000</v>
      </c>
      <c r="E254" s="97">
        <f>IF('ن-فرعي'!G386&gt;0,'ن-فرعي'!G386,"")</f>
        <v>75000</v>
      </c>
      <c r="F254" s="177" t="str">
        <f>IF('ن-فرعي'!H386&gt;0,'ن-فرعي'!H386,"")</f>
        <v/>
      </c>
      <c r="G254" s="97" t="str">
        <f>IF('ن-فرعي'!I386&gt;0,'ن-فرعي'!I386,"")</f>
        <v/>
      </c>
      <c r="H254" s="167" t="str">
        <f t="shared" si="25"/>
        <v/>
      </c>
      <c r="I254" s="168" t="str">
        <f t="shared" si="26"/>
        <v/>
      </c>
    </row>
    <row r="255" spans="2:9" s="37" customFormat="1" x14ac:dyDescent="0.2">
      <c r="B255" s="14">
        <f>IF('ن-فرعي'!D387&gt;0,'ن-فرعي'!D387,"")</f>
        <v>29302009</v>
      </c>
      <c r="C255" s="16" t="str">
        <f>IF('ن-فرعي'!E387&gt;0,'ن-فرعي'!E387,"")</f>
        <v xml:space="preserve">مشروع المراسلات والأرشفة الالكترونية/ مشروطة بالتمويل </v>
      </c>
      <c r="D255" s="97">
        <f>IF('ن-فرعي'!F387&gt;0,'ن-فرعي'!F387,"")</f>
        <v>70000</v>
      </c>
      <c r="E255" s="97">
        <f>IF('ن-فرعي'!G387&gt;0,'ن-فرعي'!G387,"")</f>
        <v>70000</v>
      </c>
      <c r="F255" s="177" t="str">
        <f>IF('ن-فرعي'!H387&gt;0,'ن-فرعي'!H387,"")</f>
        <v/>
      </c>
      <c r="G255" s="97">
        <f>IF('ن-فرعي'!I387&gt;0,'ن-فرعي'!I387,"")</f>
        <v>25800</v>
      </c>
      <c r="H255" s="167" t="str">
        <f t="shared" si="25"/>
        <v/>
      </c>
      <c r="I255" s="168" t="str">
        <f t="shared" si="26"/>
        <v/>
      </c>
    </row>
    <row r="256" spans="2:9" x14ac:dyDescent="0.2">
      <c r="B256" s="319" t="s">
        <v>539</v>
      </c>
      <c r="C256" s="319"/>
      <c r="D256" s="57">
        <f>SUM(D240:D255)</f>
        <v>8500000</v>
      </c>
      <c r="E256" s="57">
        <f>SUM(E240:E255)</f>
        <v>7635000</v>
      </c>
      <c r="F256" s="57">
        <f>SUM(F240:F255)</f>
        <v>337729</v>
      </c>
      <c r="G256" s="57">
        <f>SUM(G240:G255)</f>
        <v>428008.93400000001</v>
      </c>
      <c r="H256" s="167">
        <f t="shared" si="25"/>
        <v>3.9732823529411765E-2</v>
      </c>
      <c r="I256" s="168">
        <f t="shared" si="26"/>
        <v>3.9732823529411765E-2</v>
      </c>
    </row>
    <row r="257" spans="2:9" s="37" customFormat="1" x14ac:dyDescent="0.2">
      <c r="B257" s="338" t="s">
        <v>542</v>
      </c>
      <c r="C257" s="338"/>
      <c r="D257" s="338"/>
      <c r="E257" s="338"/>
      <c r="F257" s="338"/>
      <c r="G257" s="338"/>
      <c r="H257" s="338"/>
      <c r="I257" s="338"/>
    </row>
    <row r="258" spans="2:9" s="37" customFormat="1" x14ac:dyDescent="0.2">
      <c r="B258" s="14">
        <f>IF('ن-فرعي'!D392&gt;0,'ن-فرعي'!D392,"")</f>
        <v>29401001</v>
      </c>
      <c r="C258" s="16" t="str">
        <f>IF('ن-فرعي'!E392&gt;0,'ن-فرعي'!E392,"")</f>
        <v>المساهمة في تدريس أبناء الشهداء والمصابين العسكريين/ العادي</v>
      </c>
      <c r="D258" s="42">
        <f>IF('ن-فرعي'!F392&gt;0,+'ن-فرعي'!F392,"")</f>
        <v>50000</v>
      </c>
      <c r="E258" s="42">
        <f>IF('ن-فرعي'!G392&gt;0,+'ن-فرعي'!G392,"")</f>
        <v>50000</v>
      </c>
      <c r="F258" s="177">
        <f>IF('ن-فرعي'!H392&gt;0,+'ن-فرعي'!H392,"")</f>
        <v>32413</v>
      </c>
      <c r="G258" s="42" t="str">
        <f>IF('ن-فرعي'!I392&gt;0,+'ن-فرعي'!I392,"")</f>
        <v/>
      </c>
      <c r="H258" s="167">
        <f>IFERROR(F258/D258,"")</f>
        <v>0.64825999999999995</v>
      </c>
      <c r="I258" s="168">
        <f>IFERROR(F258/$D$267,"")</f>
        <v>2.1608666666666668E-2</v>
      </c>
    </row>
    <row r="259" spans="2:9" x14ac:dyDescent="0.2">
      <c r="B259" s="14">
        <f>IF('ن-فرعي'!D393&gt;0,'ن-فرعي'!D393,"")</f>
        <v>29401002</v>
      </c>
      <c r="C259" s="16" t="str">
        <f>IF('ن-فرعي'!E393&gt;0,'ن-فرعي'!E393,"")</f>
        <v>المساهمة في تدريس أبناء العاملين في الجامعات الحكومية/ العادي</v>
      </c>
      <c r="D259" s="42">
        <f>IF('ن-فرعي'!F393&gt;0,+'ن-فرعي'!F393,"")</f>
        <v>100000</v>
      </c>
      <c r="E259" s="42">
        <f>IF('ن-فرعي'!G393&gt;0,+'ن-فرعي'!G393,"")</f>
        <v>115000</v>
      </c>
      <c r="F259" s="177">
        <f>IF('ن-فرعي'!H393&gt;0,+'ن-فرعي'!H393,"")</f>
        <v>114407.4</v>
      </c>
      <c r="G259" s="42" t="str">
        <f>IF('ن-فرعي'!I393&gt;0,+'ن-فرعي'!I393,"")</f>
        <v/>
      </c>
      <c r="H259" s="167">
        <f t="shared" ref="H259:H268" si="27">IFERROR(F259/D259,"")</f>
        <v>1.144074</v>
      </c>
      <c r="I259" s="168">
        <f t="shared" ref="I259:I267" si="28">IFERROR(F259/$D$267,"")</f>
        <v>7.6271599999999995E-2</v>
      </c>
    </row>
    <row r="260" spans="2:9" x14ac:dyDescent="0.2">
      <c r="B260" s="14">
        <f>IF('ن-فرعي'!D394&gt;0,'ن-فرعي'!D394,"")</f>
        <v>29401003</v>
      </c>
      <c r="C260" s="16" t="str">
        <f>IF('ن-فرعي'!E394&gt;0,'ن-فرعي'!E394,"")</f>
        <v>المساهمة في تدريس ذوي الاحتياجات الخاصة/ العادي</v>
      </c>
      <c r="D260" s="42">
        <f>IF('ن-فرعي'!F394&gt;0,+'ن-فرعي'!F394,"")</f>
        <v>20000</v>
      </c>
      <c r="E260" s="42">
        <f>IF('ن-فرعي'!G394&gt;0,+'ن-فرعي'!G394,"")</f>
        <v>19000</v>
      </c>
      <c r="F260" s="177">
        <f>IF('ن-فرعي'!H394&gt;0,+'ن-فرعي'!H394,"")</f>
        <v>15145.2</v>
      </c>
      <c r="G260" s="42" t="str">
        <f>IF('ن-فرعي'!I394&gt;0,+'ن-فرعي'!I394,"")</f>
        <v/>
      </c>
      <c r="H260" s="167">
        <f t="shared" si="27"/>
        <v>0.75726000000000004</v>
      </c>
      <c r="I260" s="168">
        <f t="shared" si="28"/>
        <v>1.0096800000000001E-2</v>
      </c>
    </row>
    <row r="261" spans="2:9" x14ac:dyDescent="0.2">
      <c r="B261" s="14">
        <f>IF('ن-فرعي'!D395&gt;0,'ن-فرعي'!D395,"")</f>
        <v>29401004</v>
      </c>
      <c r="C261" s="16" t="str">
        <f>IF('ن-فرعي'!E395&gt;0,'ن-فرعي'!E395,"")</f>
        <v>المساهمة في تدريس طلاب الديوان الملكي/ العادي</v>
      </c>
      <c r="D261" s="42">
        <f>IF('ن-فرعي'!F395&gt;0,+'ن-فرعي'!F395,"")</f>
        <v>100000</v>
      </c>
      <c r="E261" s="42">
        <f>IF('ن-فرعي'!G395&gt;0,+'ن-فرعي'!G395,"")</f>
        <v>100000</v>
      </c>
      <c r="F261" s="177">
        <f>IF('ن-فرعي'!H395&gt;0,+'ن-فرعي'!H395,"")</f>
        <v>96174</v>
      </c>
      <c r="G261" s="42" t="str">
        <f>IF('ن-فرعي'!I395&gt;0,+'ن-فرعي'!I395,"")</f>
        <v/>
      </c>
      <c r="H261" s="167">
        <f t="shared" si="27"/>
        <v>0.96174000000000004</v>
      </c>
      <c r="I261" s="168">
        <f t="shared" si="28"/>
        <v>6.4116000000000006E-2</v>
      </c>
    </row>
    <row r="262" spans="2:9" s="37" customFormat="1" x14ac:dyDescent="0.2">
      <c r="B262" s="14">
        <f>IF('ن-فرعي'!D396&gt;0,'ن-فرعي'!D396,"")</f>
        <v>29401005</v>
      </c>
      <c r="C262" s="16" t="str">
        <f>IF('ن-فرعي'!E396&gt;0,'ن-فرعي'!E396,"")</f>
        <v>المساهمة في تدريس طلاب وزارة الصحة/ العادي</v>
      </c>
      <c r="D262" s="42">
        <f>IF('ن-فرعي'!F396&gt;0,+'ن-فرعي'!F396,"")</f>
        <v>10000</v>
      </c>
      <c r="E262" s="42">
        <f>IF('ن-فرعي'!G396&gt;0,+'ن-فرعي'!G396,"")</f>
        <v>10000</v>
      </c>
      <c r="F262" s="177">
        <f>IF('ن-فرعي'!H396&gt;0,+'ن-فرعي'!H396,"")</f>
        <v>3860</v>
      </c>
      <c r="G262" s="42" t="str">
        <f>IF('ن-فرعي'!I396&gt;0,+'ن-فرعي'!I396,"")</f>
        <v/>
      </c>
      <c r="H262" s="167">
        <f t="shared" si="27"/>
        <v>0.38600000000000001</v>
      </c>
      <c r="I262" s="168">
        <f t="shared" si="28"/>
        <v>2.5733333333333333E-3</v>
      </c>
    </row>
    <row r="263" spans="2:9" x14ac:dyDescent="0.2">
      <c r="B263" s="14">
        <f>IF('ن-فرعي'!D397&gt;0,'ن-فرعي'!D397,"")</f>
        <v>29402001</v>
      </c>
      <c r="C263" s="16" t="str">
        <f>IF('ن-فرعي'!E397&gt;0,'ن-فرعي'!E397,"")</f>
        <v>المساهمة في تدريس أبناء الشهداء والمصابين العسكريين/ غير العادي</v>
      </c>
      <c r="D263" s="42">
        <f>IF('ن-فرعي'!F397&gt;0,+'ن-فرعي'!F397,"")</f>
        <v>1160000</v>
      </c>
      <c r="E263" s="42">
        <f>IF('ن-فرعي'!G397&gt;0,+'ن-فرعي'!G397,"")</f>
        <v>1876000</v>
      </c>
      <c r="F263" s="177">
        <f>IF('ن-فرعي'!H397&gt;0,+'ن-فرعي'!H397,"")</f>
        <v>1841547</v>
      </c>
      <c r="G263" s="42" t="str">
        <f>IF('ن-فرعي'!I397&gt;0,+'ن-فرعي'!I397,"")</f>
        <v/>
      </c>
      <c r="H263" s="167">
        <f t="shared" si="27"/>
        <v>1.5875405172413792</v>
      </c>
      <c r="I263" s="168">
        <f t="shared" si="28"/>
        <v>1.227698</v>
      </c>
    </row>
    <row r="264" spans="2:9" s="37" customFormat="1" x14ac:dyDescent="0.2">
      <c r="B264" s="14">
        <f>IF('ن-فرعي'!D398&gt;0,'ن-فرعي'!D398,"")</f>
        <v>29402002</v>
      </c>
      <c r="C264" s="16" t="str">
        <f>IF('ن-فرعي'!E398&gt;0,'ن-فرعي'!E398,"")</f>
        <v>المساهمة في تدريس أبناء العاملين في الجامعات الحكومية/ غير العادي</v>
      </c>
      <c r="D264" s="42">
        <f>IF('ن-فرعي'!F398&gt;0,+'ن-فرعي'!F398,"")</f>
        <v>20000</v>
      </c>
      <c r="E264" s="42">
        <f>IF('ن-فرعي'!G398&gt;0,+'ن-فرعي'!G398,"")</f>
        <v>130000</v>
      </c>
      <c r="F264" s="177">
        <f>IF('ن-فرعي'!H398&gt;0,+'ن-فرعي'!H398,"")</f>
        <v>18172.5</v>
      </c>
      <c r="G264" s="42" t="str">
        <f>IF('ن-فرعي'!I398&gt;0,+'ن-فرعي'!I398,"")</f>
        <v/>
      </c>
      <c r="H264" s="167">
        <f t="shared" si="27"/>
        <v>0.90862500000000002</v>
      </c>
      <c r="I264" s="168">
        <f t="shared" si="28"/>
        <v>1.2115000000000001E-2</v>
      </c>
    </row>
    <row r="265" spans="2:9" x14ac:dyDescent="0.2">
      <c r="B265" s="14">
        <f>IF('ن-فرعي'!D399&gt;0,'ن-فرعي'!D399,"")</f>
        <v>29402003</v>
      </c>
      <c r="C265" s="16" t="str">
        <f>IF('ن-فرعي'!E399&gt;0,'ن-فرعي'!E399,"")</f>
        <v>المساهمة في تدريس ذوي الاحتياجات الخاصة/ غير العادي</v>
      </c>
      <c r="D265" s="42">
        <f>IF('ن-فرعي'!F399&gt;0,+'ن-فرعي'!F399,"")</f>
        <v>25000</v>
      </c>
      <c r="E265" s="42">
        <f>IF('ن-فرعي'!G399&gt;0,+'ن-فرعي'!G399,"")</f>
        <v>48000</v>
      </c>
      <c r="F265" s="177">
        <f>IF('ن-فرعي'!H399&gt;0,+'ن-فرعي'!H399,"")</f>
        <v>31486.5</v>
      </c>
      <c r="G265" s="42" t="str">
        <f>IF('ن-فرعي'!I399&gt;0,+'ن-فرعي'!I399,"")</f>
        <v/>
      </c>
      <c r="H265" s="167">
        <f t="shared" si="27"/>
        <v>1.25946</v>
      </c>
      <c r="I265" s="168">
        <f t="shared" si="28"/>
        <v>2.0990999999999999E-2</v>
      </c>
    </row>
    <row r="266" spans="2:9" s="37" customFormat="1" x14ac:dyDescent="0.2">
      <c r="B266" s="14">
        <f>IF('ن-فرعي'!D400&gt;0,'ن-فرعي'!D400,"")</f>
        <v>29402005</v>
      </c>
      <c r="C266" s="16" t="str">
        <f>IF('ن-فرعي'!E400&gt;0,'ن-فرعي'!E400,"")</f>
        <v>المساهمة في تدريس طلاب وزارة الصحة/ غير العادي</v>
      </c>
      <c r="D266" s="42">
        <f>IF('ن-فرعي'!F400&gt;0,+'ن-فرعي'!F400,"")</f>
        <v>15000</v>
      </c>
      <c r="E266" s="42">
        <f>IF('ن-فرعي'!G400&gt;0,+'ن-فرعي'!G400,"")</f>
        <v>17000</v>
      </c>
      <c r="F266" s="177">
        <f>IF('ن-فرعي'!H400&gt;0,+'ن-فرعي'!H400,"")</f>
        <v>12780</v>
      </c>
      <c r="G266" s="42" t="str">
        <f>IF('ن-فرعي'!I400&gt;0,+'ن-فرعي'!I400,"")</f>
        <v/>
      </c>
      <c r="H266" s="167">
        <f t="shared" si="27"/>
        <v>0.85199999999999998</v>
      </c>
      <c r="I266" s="168">
        <f t="shared" si="28"/>
        <v>8.5199999999999998E-3</v>
      </c>
    </row>
    <row r="267" spans="2:9" s="37" customFormat="1" x14ac:dyDescent="0.2">
      <c r="B267" s="321" t="s">
        <v>543</v>
      </c>
      <c r="C267" s="321"/>
      <c r="D267" s="98">
        <f>SUM(D258:D266)</f>
        <v>1500000</v>
      </c>
      <c r="E267" s="98">
        <f t="shared" ref="E267:G267" si="29">SUM(E258:E266)</f>
        <v>2365000</v>
      </c>
      <c r="F267" s="98">
        <f t="shared" si="29"/>
        <v>2165985.6</v>
      </c>
      <c r="G267" s="98">
        <f t="shared" si="29"/>
        <v>0</v>
      </c>
      <c r="H267" s="167">
        <f t="shared" si="27"/>
        <v>1.4439904000000001</v>
      </c>
      <c r="I267" s="168">
        <f t="shared" si="28"/>
        <v>1.4439904000000001</v>
      </c>
    </row>
    <row r="268" spans="2:9" x14ac:dyDescent="0.2">
      <c r="B268" s="336" t="s">
        <v>561</v>
      </c>
      <c r="C268" s="336"/>
      <c r="D268" s="176">
        <f>D256+D267</f>
        <v>10000000</v>
      </c>
      <c r="E268" s="176">
        <f t="shared" ref="E268:G268" si="30">E256+E267</f>
        <v>10000000</v>
      </c>
      <c r="F268" s="176">
        <f t="shared" si="30"/>
        <v>2503714.6</v>
      </c>
      <c r="G268" s="176">
        <f t="shared" si="30"/>
        <v>428008.93400000001</v>
      </c>
      <c r="H268" s="167">
        <f t="shared" si="27"/>
        <v>0.25037145999999999</v>
      </c>
      <c r="I268" s="168">
        <f>IFERROR(F268/$D$268,"")</f>
        <v>0.25037145999999999</v>
      </c>
    </row>
    <row r="270" spans="2:9" x14ac:dyDescent="0.2">
      <c r="D270" s="99">
        <f>D225+D235+D268</f>
        <v>68814000</v>
      </c>
      <c r="E270" s="99">
        <f>E225+E235+E268</f>
        <v>68814000</v>
      </c>
      <c r="F270" s="99">
        <f>F225+F235+F268</f>
        <v>45663334.81400001</v>
      </c>
      <c r="G270" s="99">
        <f>G225+G235+G268</f>
        <v>3330095.43</v>
      </c>
    </row>
    <row r="271" spans="2:9" x14ac:dyDescent="0.2">
      <c r="D271" s="99">
        <f>'ن-فرعي'!F406-'ن-مواد'!D270</f>
        <v>0</v>
      </c>
      <c r="E271" s="99">
        <f>'ن-فرعي'!G406-'ن-مواد'!E270</f>
        <v>0</v>
      </c>
      <c r="F271" s="99">
        <f>'ن-فرعي'!H406-'ن-مواد'!F270</f>
        <v>0</v>
      </c>
      <c r="G271" s="99">
        <f>'ن-فرعي'!I406-'ن-مواد'!G270</f>
        <v>0</v>
      </c>
      <c r="H271" s="179"/>
    </row>
  </sheetData>
  <mergeCells count="75">
    <mergeCell ref="B138:I138"/>
    <mergeCell ref="B134:I134"/>
    <mergeCell ref="B137:C137"/>
    <mergeCell ref="B133:C133"/>
    <mergeCell ref="B119:C119"/>
    <mergeCell ref="B122:C122"/>
    <mergeCell ref="B123:C123"/>
    <mergeCell ref="B125:I125"/>
    <mergeCell ref="B124:I124"/>
    <mergeCell ref="B120:I120"/>
    <mergeCell ref="B117:I117"/>
    <mergeCell ref="B116:C116"/>
    <mergeCell ref="B91:C91"/>
    <mergeCell ref="B113:C113"/>
    <mergeCell ref="B66:C66"/>
    <mergeCell ref="B114:I114"/>
    <mergeCell ref="B92:I92"/>
    <mergeCell ref="B67:I67"/>
    <mergeCell ref="B52:I52"/>
    <mergeCell ref="B24:C24"/>
    <mergeCell ref="B31:C31"/>
    <mergeCell ref="B51:C51"/>
    <mergeCell ref="B32:I32"/>
    <mergeCell ref="B25:I25"/>
    <mergeCell ref="B5:I5"/>
    <mergeCell ref="B2:B3"/>
    <mergeCell ref="C2:C3"/>
    <mergeCell ref="D3:I3"/>
    <mergeCell ref="B1:I1"/>
    <mergeCell ref="B4:I4"/>
    <mergeCell ref="B166:I166"/>
    <mergeCell ref="B165:I165"/>
    <mergeCell ref="B160:I160"/>
    <mergeCell ref="B206:I206"/>
    <mergeCell ref="B194:I194"/>
    <mergeCell ref="B180:I180"/>
    <mergeCell ref="B193:C193"/>
    <mergeCell ref="B205:C205"/>
    <mergeCell ref="B221:I221"/>
    <mergeCell ref="B211:I211"/>
    <mergeCell ref="B172:I172"/>
    <mergeCell ref="B171:I171"/>
    <mergeCell ref="B220:C220"/>
    <mergeCell ref="B223:C223"/>
    <mergeCell ref="B226:G226"/>
    <mergeCell ref="B143:C143"/>
    <mergeCell ref="B170:C170"/>
    <mergeCell ref="B169:C169"/>
    <mergeCell ref="B153:C153"/>
    <mergeCell ref="B150:C150"/>
    <mergeCell ref="B164:C164"/>
    <mergeCell ref="B163:C163"/>
    <mergeCell ref="B154:I154"/>
    <mergeCell ref="B151:I151"/>
    <mergeCell ref="B144:I144"/>
    <mergeCell ref="B179:C179"/>
    <mergeCell ref="B225:C225"/>
    <mergeCell ref="B210:C210"/>
    <mergeCell ref="B159:C159"/>
    <mergeCell ref="B268:C268"/>
    <mergeCell ref="B267:C267"/>
    <mergeCell ref="B236:G236"/>
    <mergeCell ref="B227:C227"/>
    <mergeCell ref="D237:I237"/>
    <mergeCell ref="B224:C224"/>
    <mergeCell ref="B256:C256"/>
    <mergeCell ref="B257:I257"/>
    <mergeCell ref="B239:I239"/>
    <mergeCell ref="B238:I238"/>
    <mergeCell ref="B234:C234"/>
    <mergeCell ref="B237:C237"/>
    <mergeCell ref="B235:C235"/>
    <mergeCell ref="D227:I227"/>
    <mergeCell ref="B229:I229"/>
    <mergeCell ref="B228:I228"/>
  </mergeCells>
  <conditionalFormatting sqref="B1 B2:C3 B237:C237 B227:C227 B267:G268 B257 B256:G256 B238:B239 B234:G236 B228:B229 B223:G226 B221 B220:G220 B211 B210:G210 B206 B205:G205 B194 B193:G193 B180 B179:G179 B171:B172 B169:G170 B165:B166 B163:G164 B160 B159:G159 B154 B153:G153 B151 B150:G150 B144 B143:G143 B138 B137:G137 B134 B133:G133 B124:B125 B122:G123 B120 B119:G119 B117 B116:G116 B114 B113:G113 B92 B91:G91 B67 B66:G66 B52 B51:G51 B32 B31:G31 B25 B24:G24 B4:B5 B258:E266 G258:G266 B6:E23 G6:G23 B26:E30 G26:G30 B33:E39 G33:G39 G41:G50 B41:E50 B40:C40 B53:E65 G53:G65 B68:E90 G68:G90 B93:E112 G93:G112 B115:E115 G115 B118:E118 G118 B121:E121 G121 B126:E132 G126:G132 B135:E136 G135:G136 B139:E142 G139:G142 B145:E149 G145:G149 B155:E158 G155:G158 B152:E152 G152 B161:E162 G161:G162 B167:E168 G167:G168 B173:E178 G173:G178 B181:E192 G181:G192 B195:E204 G195:G204 B207:E209 G207:G209 B212:E219 G212:G219 B230:E233 G230:G233 B222:E222 G222 B240:E255 G240:G255">
    <cfRule type="containsBlanks" dxfId="269" priority="42">
      <formula>LEN(TRIM(B1))=0</formula>
    </cfRule>
  </conditionalFormatting>
  <conditionalFormatting sqref="D3:I3 D2:G2 I2">
    <cfRule type="containsBlanks" dxfId="268" priority="39" stopIfTrue="1">
      <formula>LEN(TRIM(D2))=0</formula>
    </cfRule>
  </conditionalFormatting>
  <conditionalFormatting sqref="H2">
    <cfRule type="containsBlanks" dxfId="267" priority="38" stopIfTrue="1">
      <formula>LEN(TRIM(H2))=0</formula>
    </cfRule>
  </conditionalFormatting>
  <conditionalFormatting sqref="H6:I24 H222:I225 H212:I220 H207:I210 H195:I205 H181:I193 H173:I179 H167:I170 H161:I164 H155:I159 H152:I153 H145:I150 H139:I143 H135:I137 H126:I133 H121:I123 H118:I119 H115:I116 H93:I113 H68:I91 H53:I66 H33:I39 H26:I31 H41:I51">
    <cfRule type="containsBlanks" dxfId="266" priority="35" stopIfTrue="1">
      <formula>LEN(TRIM(H6))=0</formula>
    </cfRule>
  </conditionalFormatting>
  <conditionalFormatting sqref="H230:I235">
    <cfRule type="containsBlanks" dxfId="265" priority="34" stopIfTrue="1">
      <formula>LEN(TRIM(H230))=0</formula>
    </cfRule>
  </conditionalFormatting>
  <conditionalFormatting sqref="H240:I256">
    <cfRule type="containsBlanks" dxfId="264" priority="33" stopIfTrue="1">
      <formula>LEN(TRIM(H240))=0</formula>
    </cfRule>
  </conditionalFormatting>
  <conditionalFormatting sqref="H258:I268">
    <cfRule type="containsBlanks" dxfId="263" priority="32" stopIfTrue="1">
      <formula>LEN(TRIM(H258))=0</formula>
    </cfRule>
  </conditionalFormatting>
  <conditionalFormatting sqref="D237:I237">
    <cfRule type="containsBlanks" dxfId="262" priority="31" stopIfTrue="1">
      <formula>LEN(TRIM(D237))=0</formula>
    </cfRule>
  </conditionalFormatting>
  <conditionalFormatting sqref="D227:I227">
    <cfRule type="containsBlanks" dxfId="261" priority="30" stopIfTrue="1">
      <formula>LEN(TRIM(D227))=0</formula>
    </cfRule>
  </conditionalFormatting>
  <conditionalFormatting sqref="F258:F266">
    <cfRule type="containsBlanks" dxfId="260" priority="29">
      <formula>LEN(TRIM(F258))=0</formula>
    </cfRule>
  </conditionalFormatting>
  <conditionalFormatting sqref="F6:F23">
    <cfRule type="containsBlanks" dxfId="259" priority="28">
      <formula>LEN(TRIM(F6))=0</formula>
    </cfRule>
  </conditionalFormatting>
  <conditionalFormatting sqref="F26:F30">
    <cfRule type="containsBlanks" dxfId="258" priority="27">
      <formula>LEN(TRIM(F26))=0</formula>
    </cfRule>
  </conditionalFormatting>
  <conditionalFormatting sqref="F33:F39 F41:F50">
    <cfRule type="containsBlanks" dxfId="257" priority="26">
      <formula>LEN(TRIM(F33))=0</formula>
    </cfRule>
  </conditionalFormatting>
  <conditionalFormatting sqref="D40:E40 G40">
    <cfRule type="containsBlanks" dxfId="256" priority="25">
      <formula>LEN(TRIM(D40))=0</formula>
    </cfRule>
  </conditionalFormatting>
  <conditionalFormatting sqref="H40:I40">
    <cfRule type="containsBlanks" dxfId="255" priority="24" stopIfTrue="1">
      <formula>LEN(TRIM(H40))=0</formula>
    </cfRule>
  </conditionalFormatting>
  <conditionalFormatting sqref="F40">
    <cfRule type="containsBlanks" dxfId="254" priority="23">
      <formula>LEN(TRIM(F40))=0</formula>
    </cfRule>
  </conditionalFormatting>
  <conditionalFormatting sqref="F53:F65">
    <cfRule type="containsBlanks" dxfId="253" priority="22">
      <formula>LEN(TRIM(F53))=0</formula>
    </cfRule>
  </conditionalFormatting>
  <conditionalFormatting sqref="F68:F90">
    <cfRule type="containsBlanks" dxfId="252" priority="21">
      <formula>LEN(TRIM(F68))=0</formula>
    </cfRule>
  </conditionalFormatting>
  <conditionalFormatting sqref="F93:F112">
    <cfRule type="containsBlanks" dxfId="251" priority="20">
      <formula>LEN(TRIM(F93))=0</formula>
    </cfRule>
  </conditionalFormatting>
  <conditionalFormatting sqref="F115">
    <cfRule type="containsBlanks" dxfId="250" priority="19">
      <formula>LEN(TRIM(F115))=0</formula>
    </cfRule>
  </conditionalFormatting>
  <conditionalFormatting sqref="F118">
    <cfRule type="containsBlanks" dxfId="249" priority="18">
      <formula>LEN(TRIM(F118))=0</formula>
    </cfRule>
  </conditionalFormatting>
  <conditionalFormatting sqref="F121">
    <cfRule type="containsBlanks" dxfId="248" priority="17">
      <formula>LEN(TRIM(F121))=0</formula>
    </cfRule>
  </conditionalFormatting>
  <conditionalFormatting sqref="F126:F132">
    <cfRule type="containsBlanks" dxfId="247" priority="16">
      <formula>LEN(TRIM(F126))=0</formula>
    </cfRule>
  </conditionalFormatting>
  <conditionalFormatting sqref="F135:F136">
    <cfRule type="containsBlanks" dxfId="246" priority="15">
      <formula>LEN(TRIM(F135))=0</formula>
    </cfRule>
  </conditionalFormatting>
  <conditionalFormatting sqref="F139:F142">
    <cfRule type="containsBlanks" dxfId="245" priority="14">
      <formula>LEN(TRIM(F139))=0</formula>
    </cfRule>
  </conditionalFormatting>
  <conditionalFormatting sqref="F145:F149">
    <cfRule type="containsBlanks" dxfId="244" priority="13">
      <formula>LEN(TRIM(F145))=0</formula>
    </cfRule>
  </conditionalFormatting>
  <conditionalFormatting sqref="F155:F158">
    <cfRule type="containsBlanks" dxfId="243" priority="12">
      <formula>LEN(TRIM(F155))=0</formula>
    </cfRule>
  </conditionalFormatting>
  <conditionalFormatting sqref="F152">
    <cfRule type="containsBlanks" dxfId="242" priority="11">
      <formula>LEN(TRIM(F152))=0</formula>
    </cfRule>
  </conditionalFormatting>
  <conditionalFormatting sqref="F161:F162">
    <cfRule type="containsBlanks" dxfId="241" priority="10">
      <formula>LEN(TRIM(F161))=0</formula>
    </cfRule>
  </conditionalFormatting>
  <conditionalFormatting sqref="F167:F168">
    <cfRule type="containsBlanks" dxfId="240" priority="9">
      <formula>LEN(TRIM(F167))=0</formula>
    </cfRule>
  </conditionalFormatting>
  <conditionalFormatting sqref="F173:F178">
    <cfRule type="containsBlanks" dxfId="239" priority="8">
      <formula>LEN(TRIM(F173))=0</formula>
    </cfRule>
  </conditionalFormatting>
  <conditionalFormatting sqref="F181:F192">
    <cfRule type="containsBlanks" dxfId="238" priority="7">
      <formula>LEN(TRIM(F181))=0</formula>
    </cfRule>
  </conditionalFormatting>
  <conditionalFormatting sqref="F195:F204">
    <cfRule type="containsBlanks" dxfId="237" priority="6">
      <formula>LEN(TRIM(F195))=0</formula>
    </cfRule>
  </conditionalFormatting>
  <conditionalFormatting sqref="F207:F209">
    <cfRule type="containsBlanks" dxfId="236" priority="5">
      <formula>LEN(TRIM(F207))=0</formula>
    </cfRule>
  </conditionalFormatting>
  <conditionalFormatting sqref="F212:F219">
    <cfRule type="containsBlanks" dxfId="235" priority="4">
      <formula>LEN(TRIM(F212))=0</formula>
    </cfRule>
  </conditionalFormatting>
  <conditionalFormatting sqref="F230:F233">
    <cfRule type="containsBlanks" dxfId="234" priority="3">
      <formula>LEN(TRIM(F230))=0</formula>
    </cfRule>
  </conditionalFormatting>
  <conditionalFormatting sqref="F222">
    <cfRule type="containsBlanks" dxfId="233" priority="2">
      <formula>LEN(TRIM(F222))=0</formula>
    </cfRule>
  </conditionalFormatting>
  <conditionalFormatting sqref="F240:F255">
    <cfRule type="containsBlanks" dxfId="232" priority="1">
      <formula>LEN(TRIM(F240))=0</formula>
    </cfRule>
  </conditionalFormatting>
  <pageMargins left="0.19685039370078741" right="0.6692913385826772" top="0.6692913385826772" bottom="0.27559055118110237" header="0.31496062992125984" footer="0.11811023622047245"/>
  <pageSetup paperSize="9" scale="60" orientation="portrait" r:id="rId1"/>
  <headerFooter>
    <oddFooter xml:space="preserve">&amp;C&amp;P+8
&amp;R
</oddFooter>
  </headerFooter>
  <rowBreaks count="4" manualBreakCount="4">
    <brk id="66" max="8" man="1"/>
    <brk id="123" max="8" man="1"/>
    <brk id="179" max="8" man="1"/>
    <brk id="226" max="8" man="1"/>
  </rowBreaks>
  <ignoredErrors>
    <ignoredError sqref="D2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CC"/>
  </sheetPr>
  <dimension ref="B1:I207"/>
  <sheetViews>
    <sheetView rightToLeft="1" view="pageBreakPreview" zoomScale="60" zoomScaleNormal="100" workbookViewId="0">
      <pane ySplit="3" topLeftCell="A10" activePane="bottomLeft" state="frozen"/>
      <selection pane="bottomLeft" activeCell="N30" sqref="N30"/>
    </sheetView>
  </sheetViews>
  <sheetFormatPr defaultRowHeight="14.25" x14ac:dyDescent="0.2"/>
  <cols>
    <col min="1" max="1" width="9" customWidth="1"/>
    <col min="2" max="2" width="4" style="7" bestFit="1" customWidth="1"/>
    <col min="3" max="3" width="2.75" style="7" bestFit="1" customWidth="1"/>
    <col min="4" max="4" width="9" style="10" bestFit="1" customWidth="1"/>
    <col min="5" max="5" width="45.125" style="7" bestFit="1" customWidth="1"/>
    <col min="6" max="7" width="9.875" style="7" bestFit="1" customWidth="1"/>
    <col min="8" max="8" width="8.875" style="206" bestFit="1" customWidth="1"/>
    <col min="9" max="9" width="8.75" style="206" bestFit="1" customWidth="1"/>
  </cols>
  <sheetData>
    <row r="1" spans="2:9" s="86" customFormat="1" ht="12.75" x14ac:dyDescent="0.2">
      <c r="B1" s="349" t="s">
        <v>263</v>
      </c>
      <c r="C1" s="349"/>
      <c r="D1" s="315" t="s">
        <v>808</v>
      </c>
      <c r="E1" s="315"/>
      <c r="F1" s="315"/>
      <c r="G1" s="315"/>
      <c r="H1" s="315"/>
      <c r="I1" s="315"/>
    </row>
    <row r="2" spans="2:9" s="85" customFormat="1" ht="25.5" x14ac:dyDescent="0.2">
      <c r="B2" s="349"/>
      <c r="C2" s="349"/>
      <c r="D2" s="315" t="s">
        <v>328</v>
      </c>
      <c r="E2" s="315" t="s">
        <v>329</v>
      </c>
      <c r="F2" s="191" t="s">
        <v>520</v>
      </c>
      <c r="G2" s="191" t="s">
        <v>522</v>
      </c>
      <c r="H2" s="190" t="s">
        <v>816</v>
      </c>
      <c r="I2" s="190" t="s">
        <v>806</v>
      </c>
    </row>
    <row r="3" spans="2:9" s="85" customFormat="1" ht="12.75" x14ac:dyDescent="0.2">
      <c r="B3" s="349"/>
      <c r="C3" s="349"/>
      <c r="D3" s="315"/>
      <c r="E3" s="315"/>
      <c r="F3" s="328">
        <v>2020</v>
      </c>
      <c r="G3" s="328"/>
      <c r="H3" s="328"/>
      <c r="I3" s="328"/>
    </row>
    <row r="4" spans="2:9" x14ac:dyDescent="0.2">
      <c r="B4" s="309" t="s">
        <v>545</v>
      </c>
      <c r="C4" s="309"/>
      <c r="D4" s="309"/>
      <c r="E4" s="309"/>
      <c r="F4" s="309"/>
      <c r="G4" s="309"/>
      <c r="H4" s="309"/>
      <c r="I4" s="309"/>
    </row>
    <row r="5" spans="2:9" x14ac:dyDescent="0.2">
      <c r="B5" s="335" t="s">
        <v>402</v>
      </c>
      <c r="C5" s="335"/>
      <c r="D5" s="335"/>
      <c r="E5" s="335"/>
      <c r="F5" s="335"/>
      <c r="G5" s="335"/>
      <c r="H5" s="335"/>
      <c r="I5" s="335"/>
    </row>
    <row r="6" spans="2:9" x14ac:dyDescent="0.2">
      <c r="B6" s="347">
        <v>1</v>
      </c>
      <c r="C6" s="348" t="s">
        <v>209</v>
      </c>
      <c r="D6" s="348"/>
      <c r="E6" s="348"/>
      <c r="F6" s="348"/>
      <c r="G6" s="348"/>
      <c r="H6" s="348"/>
      <c r="I6" s="348"/>
    </row>
    <row r="7" spans="2:9" x14ac:dyDescent="0.2">
      <c r="B7" s="347"/>
      <c r="C7" s="345">
        <v>2</v>
      </c>
      <c r="D7" s="23">
        <v>10102001</v>
      </c>
      <c r="E7" s="4" t="s">
        <v>143</v>
      </c>
      <c r="F7" s="129">
        <v>7300000</v>
      </c>
      <c r="G7" s="177">
        <v>5943026.4919999996</v>
      </c>
      <c r="H7" s="167">
        <f>IFERROR(G7/F7,"")</f>
        <v>0.81411321808219173</v>
      </c>
      <c r="I7" s="168">
        <f>IFERROR(G7/$F$150,"")</f>
        <v>0.16635949199417757</v>
      </c>
    </row>
    <row r="8" spans="2:9" x14ac:dyDescent="0.2">
      <c r="B8" s="347"/>
      <c r="C8" s="345"/>
      <c r="D8" s="23">
        <v>10102002</v>
      </c>
      <c r="E8" s="4" t="s">
        <v>144</v>
      </c>
      <c r="F8" s="129">
        <v>1100000</v>
      </c>
      <c r="G8" s="177">
        <v>1173473</v>
      </c>
      <c r="H8" s="167">
        <f t="shared" ref="H8:H69" si="0">IFERROR(G8/F8,"")</f>
        <v>1.0667936363636363</v>
      </c>
      <c r="I8" s="168">
        <f t="shared" ref="I8:I69" si="1">IFERROR(G8/$F$150,"")</f>
        <v>3.284830925988131E-2</v>
      </c>
    </row>
    <row r="9" spans="2:9" x14ac:dyDescent="0.2">
      <c r="B9" s="347"/>
      <c r="C9" s="345"/>
      <c r="D9" s="23">
        <v>10102004</v>
      </c>
      <c r="E9" s="4" t="s">
        <v>145</v>
      </c>
      <c r="F9" s="129">
        <v>92000</v>
      </c>
      <c r="G9" s="177">
        <v>38550</v>
      </c>
      <c r="H9" s="167">
        <f t="shared" si="0"/>
        <v>0.41902173913043478</v>
      </c>
      <c r="I9" s="168">
        <f t="shared" si="1"/>
        <v>1.079106483036614E-3</v>
      </c>
    </row>
    <row r="10" spans="2:9" x14ac:dyDescent="0.2">
      <c r="B10" s="347"/>
      <c r="C10" s="345"/>
      <c r="D10" s="23">
        <v>10102005</v>
      </c>
      <c r="E10" s="4" t="s">
        <v>309</v>
      </c>
      <c r="F10" s="129">
        <v>4000</v>
      </c>
      <c r="G10" s="177">
        <v>11990</v>
      </c>
      <c r="H10" s="167">
        <f t="shared" si="0"/>
        <v>2.9975000000000001</v>
      </c>
      <c r="I10" s="168">
        <f t="shared" si="1"/>
        <v>3.3562870899115439E-4</v>
      </c>
    </row>
    <row r="11" spans="2:9" x14ac:dyDescent="0.2">
      <c r="B11" s="347"/>
      <c r="C11" s="345"/>
      <c r="D11" s="23">
        <v>10102006</v>
      </c>
      <c r="E11" s="4" t="s">
        <v>146</v>
      </c>
      <c r="F11" s="129">
        <v>400000</v>
      </c>
      <c r="G11" s="177">
        <v>270169.95</v>
      </c>
      <c r="H11" s="167">
        <f t="shared" si="0"/>
        <v>0.67542487500000004</v>
      </c>
      <c r="I11" s="168">
        <f t="shared" si="1"/>
        <v>7.5627015451797111E-3</v>
      </c>
    </row>
    <row r="12" spans="2:9" x14ac:dyDescent="0.2">
      <c r="B12" s="347"/>
      <c r="C12" s="346" t="s">
        <v>21</v>
      </c>
      <c r="D12" s="346"/>
      <c r="E12" s="346"/>
      <c r="F12" s="60">
        <f>SUM(F7:F11)</f>
        <v>8896000</v>
      </c>
      <c r="G12" s="60">
        <f>SUM(G7:G11)</f>
        <v>7437209.4419999998</v>
      </c>
      <c r="H12" s="167">
        <f t="shared" si="0"/>
        <v>0.83601724842625902</v>
      </c>
      <c r="I12" s="168">
        <f t="shared" si="1"/>
        <v>0.20818523799126637</v>
      </c>
    </row>
    <row r="13" spans="2:9" x14ac:dyDescent="0.2">
      <c r="B13" s="347"/>
      <c r="C13" s="348" t="s">
        <v>210</v>
      </c>
      <c r="D13" s="348"/>
      <c r="E13" s="348"/>
      <c r="F13" s="348"/>
      <c r="G13" s="348"/>
      <c r="H13" s="348"/>
      <c r="I13" s="348"/>
    </row>
    <row r="14" spans="2:9" x14ac:dyDescent="0.2">
      <c r="B14" s="347"/>
      <c r="C14" s="345">
        <v>3</v>
      </c>
      <c r="D14" s="23">
        <v>10103001</v>
      </c>
      <c r="E14" s="4" t="s">
        <v>147</v>
      </c>
      <c r="F14" s="129">
        <v>500</v>
      </c>
      <c r="G14" s="177"/>
      <c r="H14" s="167">
        <f t="shared" si="0"/>
        <v>0</v>
      </c>
      <c r="I14" s="168">
        <f t="shared" si="1"/>
        <v>0</v>
      </c>
    </row>
    <row r="15" spans="2:9" x14ac:dyDescent="0.2">
      <c r="B15" s="347"/>
      <c r="C15" s="345"/>
      <c r="D15" s="23">
        <v>10103002</v>
      </c>
      <c r="E15" s="4" t="s">
        <v>148</v>
      </c>
      <c r="F15" s="129">
        <v>50</v>
      </c>
      <c r="G15" s="177"/>
      <c r="H15" s="167">
        <f t="shared" si="0"/>
        <v>0</v>
      </c>
      <c r="I15" s="168">
        <f t="shared" si="1"/>
        <v>0</v>
      </c>
    </row>
    <row r="16" spans="2:9" x14ac:dyDescent="0.2">
      <c r="B16" s="347"/>
      <c r="C16" s="345"/>
      <c r="D16" s="23">
        <v>10103006</v>
      </c>
      <c r="E16" s="4" t="s">
        <v>149</v>
      </c>
      <c r="F16" s="129">
        <v>1000</v>
      </c>
      <c r="G16" s="177">
        <v>500</v>
      </c>
      <c r="H16" s="167">
        <f t="shared" si="0"/>
        <v>0.5</v>
      </c>
      <c r="I16" s="168">
        <f t="shared" si="1"/>
        <v>1.3996193035494346E-5</v>
      </c>
    </row>
    <row r="17" spans="2:9" x14ac:dyDescent="0.2">
      <c r="B17" s="347"/>
      <c r="C17" s="346" t="s">
        <v>21</v>
      </c>
      <c r="D17" s="346"/>
      <c r="E17" s="346"/>
      <c r="F17" s="60">
        <f>SUM(F14:F16)</f>
        <v>1550</v>
      </c>
      <c r="G17" s="60">
        <f>SUM(G14:G16)</f>
        <v>500</v>
      </c>
      <c r="H17" s="167">
        <f t="shared" si="0"/>
        <v>0.32258064516129031</v>
      </c>
      <c r="I17" s="168">
        <f t="shared" si="1"/>
        <v>1.3996193035494346E-5</v>
      </c>
    </row>
    <row r="18" spans="2:9" x14ac:dyDescent="0.2">
      <c r="B18" s="347"/>
      <c r="C18" s="348" t="s">
        <v>211</v>
      </c>
      <c r="D18" s="348"/>
      <c r="E18" s="348"/>
      <c r="F18" s="348"/>
      <c r="G18" s="348"/>
      <c r="H18" s="348"/>
      <c r="I18" s="348"/>
    </row>
    <row r="19" spans="2:9" x14ac:dyDescent="0.2">
      <c r="B19" s="347"/>
      <c r="C19" s="345">
        <v>4</v>
      </c>
      <c r="D19" s="23">
        <v>10104001</v>
      </c>
      <c r="E19" s="4" t="s">
        <v>150</v>
      </c>
      <c r="F19" s="129">
        <v>5610000</v>
      </c>
      <c r="G19" s="177">
        <v>5744073.4840000002</v>
      </c>
      <c r="H19" s="167">
        <f t="shared" si="0"/>
        <v>1.0238990167557933</v>
      </c>
      <c r="I19" s="168">
        <f t="shared" si="1"/>
        <v>0.1607903225842571</v>
      </c>
    </row>
    <row r="20" spans="2:9" x14ac:dyDescent="0.2">
      <c r="B20" s="347"/>
      <c r="C20" s="345"/>
      <c r="D20" s="23">
        <v>10104002</v>
      </c>
      <c r="E20" s="4" t="s">
        <v>151</v>
      </c>
      <c r="F20" s="129">
        <v>1200000</v>
      </c>
      <c r="G20" s="177">
        <v>1020588.982</v>
      </c>
      <c r="H20" s="167">
        <f t="shared" si="0"/>
        <v>0.85049081833333329</v>
      </c>
      <c r="I20" s="168">
        <f t="shared" si="1"/>
        <v>2.8568720803941326E-2</v>
      </c>
    </row>
    <row r="21" spans="2:9" x14ac:dyDescent="0.2">
      <c r="B21" s="347"/>
      <c r="C21" s="345"/>
      <c r="D21" s="23">
        <v>10104004</v>
      </c>
      <c r="E21" s="4" t="s">
        <v>152</v>
      </c>
      <c r="F21" s="129">
        <v>50000</v>
      </c>
      <c r="G21" s="177">
        <v>15821.7</v>
      </c>
      <c r="H21" s="167">
        <f t="shared" si="0"/>
        <v>0.31643399999999999</v>
      </c>
      <c r="I21" s="168">
        <f t="shared" si="1"/>
        <v>4.4288713469936179E-4</v>
      </c>
    </row>
    <row r="22" spans="2:9" x14ac:dyDescent="0.2">
      <c r="B22" s="347"/>
      <c r="C22" s="345"/>
      <c r="D22" s="23">
        <v>10104005</v>
      </c>
      <c r="E22" s="4" t="s">
        <v>310</v>
      </c>
      <c r="F22" s="129">
        <v>70000</v>
      </c>
      <c r="G22" s="177">
        <v>22825</v>
      </c>
      <c r="H22" s="167">
        <f t="shared" si="0"/>
        <v>0.32607142857142857</v>
      </c>
      <c r="I22" s="168">
        <f t="shared" si="1"/>
        <v>6.3892621207031688E-4</v>
      </c>
    </row>
    <row r="23" spans="2:9" x14ac:dyDescent="0.2">
      <c r="B23" s="347"/>
      <c r="C23" s="345"/>
      <c r="D23" s="23">
        <v>10104006</v>
      </c>
      <c r="E23" s="4" t="s">
        <v>153</v>
      </c>
      <c r="F23" s="129">
        <v>210000</v>
      </c>
      <c r="G23" s="177">
        <v>164109.66200000001</v>
      </c>
      <c r="H23" s="167">
        <f t="shared" si="0"/>
        <v>0.78147458095238098</v>
      </c>
      <c r="I23" s="168">
        <f t="shared" si="1"/>
        <v>4.5938210166834624E-3</v>
      </c>
    </row>
    <row r="24" spans="2:9" x14ac:dyDescent="0.2">
      <c r="B24" s="347"/>
      <c r="C24" s="346" t="s">
        <v>21</v>
      </c>
      <c r="D24" s="346"/>
      <c r="E24" s="346"/>
      <c r="F24" s="60">
        <f>SUM(F19:F23)</f>
        <v>7140000</v>
      </c>
      <c r="G24" s="60">
        <f>SUM(G19:G23)</f>
        <v>6967418.8279999997</v>
      </c>
      <c r="H24" s="167">
        <f t="shared" si="0"/>
        <v>0.97582896750700276</v>
      </c>
      <c r="I24" s="168">
        <f t="shared" si="1"/>
        <v>0.19503467775165154</v>
      </c>
    </row>
    <row r="25" spans="2:9" x14ac:dyDescent="0.2">
      <c r="B25" s="347"/>
      <c r="C25" s="348" t="s">
        <v>212</v>
      </c>
      <c r="D25" s="348"/>
      <c r="E25" s="348"/>
      <c r="F25" s="348"/>
      <c r="G25" s="348"/>
      <c r="H25" s="348"/>
      <c r="I25" s="348"/>
    </row>
    <row r="26" spans="2:9" x14ac:dyDescent="0.2">
      <c r="B26" s="347"/>
      <c r="C26" s="345">
        <v>7</v>
      </c>
      <c r="D26" s="23">
        <v>10107001</v>
      </c>
      <c r="E26" s="4" t="s">
        <v>154</v>
      </c>
      <c r="F26" s="129">
        <v>930000</v>
      </c>
      <c r="G26" s="177">
        <v>436736.652</v>
      </c>
      <c r="H26" s="167">
        <f t="shared" si="0"/>
        <v>0.46960930322580646</v>
      </c>
      <c r="I26" s="168">
        <f t="shared" si="1"/>
        <v>1.2225300974135034E-2</v>
      </c>
    </row>
    <row r="27" spans="2:9" x14ac:dyDescent="0.2">
      <c r="B27" s="347"/>
      <c r="C27" s="345"/>
      <c r="D27" s="23">
        <v>10107002</v>
      </c>
      <c r="E27" s="4" t="s">
        <v>155</v>
      </c>
      <c r="F27" s="129">
        <v>155000</v>
      </c>
      <c r="G27" s="177">
        <v>83363</v>
      </c>
      <c r="H27" s="167">
        <f t="shared" si="0"/>
        <v>0.53782580645161293</v>
      </c>
      <c r="I27" s="168">
        <f t="shared" si="1"/>
        <v>2.3335292800358304E-3</v>
      </c>
    </row>
    <row r="28" spans="2:9" x14ac:dyDescent="0.2">
      <c r="B28" s="347"/>
      <c r="C28" s="345"/>
      <c r="D28" s="23">
        <v>10107003</v>
      </c>
      <c r="E28" s="4" t="s">
        <v>156</v>
      </c>
      <c r="F28" s="129">
        <v>70000</v>
      </c>
      <c r="G28" s="177">
        <v>44112.7</v>
      </c>
      <c r="H28" s="167">
        <f t="shared" si="0"/>
        <v>0.63018142857142856</v>
      </c>
      <c r="I28" s="168">
        <f t="shared" si="1"/>
        <v>1.2348197290337028E-3</v>
      </c>
    </row>
    <row r="29" spans="2:9" x14ac:dyDescent="0.2">
      <c r="B29" s="347"/>
      <c r="C29" s="345"/>
      <c r="D29" s="23">
        <v>10107004</v>
      </c>
      <c r="E29" s="4" t="s">
        <v>157</v>
      </c>
      <c r="F29" s="129">
        <v>40000</v>
      </c>
      <c r="G29" s="177">
        <v>34100</v>
      </c>
      <c r="H29" s="167">
        <f t="shared" si="0"/>
        <v>0.85250000000000004</v>
      </c>
      <c r="I29" s="168">
        <f t="shared" si="1"/>
        <v>9.5454036502071432E-4</v>
      </c>
    </row>
    <row r="30" spans="2:9" x14ac:dyDescent="0.2">
      <c r="B30" s="347"/>
      <c r="C30" s="345"/>
      <c r="D30" s="23">
        <v>10107005</v>
      </c>
      <c r="E30" s="4" t="s">
        <v>158</v>
      </c>
      <c r="F30" s="129">
        <v>10000</v>
      </c>
      <c r="G30" s="177">
        <v>7860</v>
      </c>
      <c r="H30" s="167">
        <f t="shared" si="0"/>
        <v>0.78600000000000003</v>
      </c>
      <c r="I30" s="168">
        <f t="shared" si="1"/>
        <v>2.2002015451797112E-4</v>
      </c>
    </row>
    <row r="31" spans="2:9" x14ac:dyDescent="0.2">
      <c r="B31" s="347"/>
      <c r="C31" s="345"/>
      <c r="D31" s="23">
        <v>10107006</v>
      </c>
      <c r="E31" s="4" t="s">
        <v>159</v>
      </c>
      <c r="F31" s="129">
        <v>25000</v>
      </c>
      <c r="G31" s="177">
        <v>11860.9</v>
      </c>
      <c r="H31" s="167">
        <f t="shared" si="0"/>
        <v>0.47443599999999997</v>
      </c>
      <c r="I31" s="168">
        <f t="shared" si="1"/>
        <v>3.3201489194938978E-4</v>
      </c>
    </row>
    <row r="32" spans="2:9" x14ac:dyDescent="0.2">
      <c r="B32" s="347"/>
      <c r="C32" s="346" t="s">
        <v>21</v>
      </c>
      <c r="D32" s="346"/>
      <c r="E32" s="346"/>
      <c r="F32" s="60">
        <f>SUM(F26:F31)</f>
        <v>1230000</v>
      </c>
      <c r="G32" s="60">
        <f>SUM(G26:G31)</f>
        <v>618033.25199999998</v>
      </c>
      <c r="H32" s="167">
        <f t="shared" si="0"/>
        <v>0.50246605853658532</v>
      </c>
      <c r="I32" s="168">
        <f t="shared" si="1"/>
        <v>1.7300225394692642E-2</v>
      </c>
    </row>
    <row r="33" spans="2:9" x14ac:dyDescent="0.2">
      <c r="B33" s="347"/>
      <c r="C33" s="348" t="s">
        <v>213</v>
      </c>
      <c r="D33" s="348"/>
      <c r="E33" s="348"/>
      <c r="F33" s="348"/>
      <c r="G33" s="348"/>
      <c r="H33" s="348"/>
      <c r="I33" s="348"/>
    </row>
    <row r="34" spans="2:9" x14ac:dyDescent="0.2">
      <c r="B34" s="347"/>
      <c r="C34" s="345">
        <v>8</v>
      </c>
      <c r="D34" s="23">
        <v>10108001</v>
      </c>
      <c r="E34" s="4" t="s">
        <v>160</v>
      </c>
      <c r="F34" s="129">
        <v>1700000</v>
      </c>
      <c r="G34" s="177">
        <v>1422628.4979999999</v>
      </c>
      <c r="H34" s="167">
        <f t="shared" si="0"/>
        <v>0.83684029294117646</v>
      </c>
      <c r="I34" s="168">
        <f t="shared" si="1"/>
        <v>3.9822766151606757E-2</v>
      </c>
    </row>
    <row r="35" spans="2:9" x14ac:dyDescent="0.2">
      <c r="B35" s="347"/>
      <c r="C35" s="345"/>
      <c r="D35" s="23">
        <v>10108002</v>
      </c>
      <c r="E35" s="4" t="s">
        <v>161</v>
      </c>
      <c r="F35" s="129">
        <v>200000</v>
      </c>
      <c r="G35" s="177">
        <v>203879.16200000001</v>
      </c>
      <c r="H35" s="167">
        <f t="shared" si="0"/>
        <v>1.01939581</v>
      </c>
      <c r="I35" s="168">
        <f t="shared" si="1"/>
        <v>5.7070642145336473E-3</v>
      </c>
    </row>
    <row r="36" spans="2:9" x14ac:dyDescent="0.2">
      <c r="B36" s="347"/>
      <c r="C36" s="345"/>
      <c r="D36" s="23">
        <v>10108003</v>
      </c>
      <c r="E36" s="4" t="s">
        <v>162</v>
      </c>
      <c r="F36" s="129">
        <v>190000</v>
      </c>
      <c r="G36" s="177">
        <v>153349.76800000001</v>
      </c>
      <c r="H36" s="167">
        <f t="shared" si="0"/>
        <v>0.80710404210526321</v>
      </c>
      <c r="I36" s="168">
        <f t="shared" si="1"/>
        <v>4.292625909752548E-3</v>
      </c>
    </row>
    <row r="37" spans="2:9" x14ac:dyDescent="0.2">
      <c r="B37" s="347"/>
      <c r="C37" s="345"/>
      <c r="D37" s="23">
        <v>10108004</v>
      </c>
      <c r="E37" s="4" t="s">
        <v>163</v>
      </c>
      <c r="F37" s="129">
        <v>150000</v>
      </c>
      <c r="G37" s="177">
        <v>108055.8</v>
      </c>
      <c r="H37" s="167">
        <f t="shared" si="0"/>
        <v>0.72037200000000001</v>
      </c>
      <c r="I37" s="168">
        <f t="shared" si="1"/>
        <v>3.0247396708095397E-3</v>
      </c>
    </row>
    <row r="38" spans="2:9" x14ac:dyDescent="0.2">
      <c r="B38" s="347"/>
      <c r="C38" s="345"/>
      <c r="D38" s="23">
        <v>10108005</v>
      </c>
      <c r="E38" s="4" t="s">
        <v>164</v>
      </c>
      <c r="F38" s="129">
        <v>30000</v>
      </c>
      <c r="G38" s="177">
        <v>21250.092000000001</v>
      </c>
      <c r="H38" s="167">
        <f t="shared" si="0"/>
        <v>0.70833639999999998</v>
      </c>
      <c r="I38" s="168">
        <f t="shared" si="1"/>
        <v>5.9484077930802828E-4</v>
      </c>
    </row>
    <row r="39" spans="2:9" x14ac:dyDescent="0.2">
      <c r="B39" s="347"/>
      <c r="C39" s="345"/>
      <c r="D39" s="23">
        <v>10108006</v>
      </c>
      <c r="E39" s="4" t="s">
        <v>165</v>
      </c>
      <c r="F39" s="129">
        <v>80000</v>
      </c>
      <c r="G39" s="177">
        <v>62028.99</v>
      </c>
      <c r="H39" s="167">
        <f t="shared" si="0"/>
        <v>0.77536237499999994</v>
      </c>
      <c r="I39" s="168">
        <f t="shared" si="1"/>
        <v>1.7363394356734968E-3</v>
      </c>
    </row>
    <row r="40" spans="2:9" x14ac:dyDescent="0.2">
      <c r="B40" s="347"/>
      <c r="C40" s="346" t="s">
        <v>21</v>
      </c>
      <c r="D40" s="346"/>
      <c r="E40" s="346"/>
      <c r="F40" s="60">
        <f>SUM(F34:F39)</f>
        <v>2350000</v>
      </c>
      <c r="G40" s="60">
        <f>SUM(G34:G39)</f>
        <v>1971192.3099999998</v>
      </c>
      <c r="H40" s="167">
        <f t="shared" si="0"/>
        <v>0.83880523829787224</v>
      </c>
      <c r="I40" s="168">
        <f t="shared" si="1"/>
        <v>5.5178376161684015E-2</v>
      </c>
    </row>
    <row r="41" spans="2:9" x14ac:dyDescent="0.2">
      <c r="B41" s="347"/>
      <c r="C41" s="348" t="s">
        <v>214</v>
      </c>
      <c r="D41" s="348"/>
      <c r="E41" s="348"/>
      <c r="F41" s="348"/>
      <c r="G41" s="348"/>
      <c r="H41" s="348"/>
      <c r="I41" s="348"/>
    </row>
    <row r="42" spans="2:9" x14ac:dyDescent="0.2">
      <c r="B42" s="347"/>
      <c r="C42" s="345">
        <v>9</v>
      </c>
      <c r="D42" s="23">
        <v>10109001</v>
      </c>
      <c r="E42" s="4" t="s">
        <v>166</v>
      </c>
      <c r="F42" s="129">
        <v>10000</v>
      </c>
      <c r="G42" s="177"/>
      <c r="H42" s="167">
        <f t="shared" si="0"/>
        <v>0</v>
      </c>
      <c r="I42" s="168">
        <f t="shared" si="1"/>
        <v>0</v>
      </c>
    </row>
    <row r="43" spans="2:9" x14ac:dyDescent="0.2">
      <c r="B43" s="347"/>
      <c r="C43" s="345"/>
      <c r="D43" s="23">
        <v>10109002</v>
      </c>
      <c r="E43" s="4" t="s">
        <v>167</v>
      </c>
      <c r="F43" s="129">
        <v>5000</v>
      </c>
      <c r="G43" s="177"/>
      <c r="H43" s="167">
        <f t="shared" si="0"/>
        <v>0</v>
      </c>
      <c r="I43" s="168">
        <f t="shared" si="1"/>
        <v>0</v>
      </c>
    </row>
    <row r="44" spans="2:9" x14ac:dyDescent="0.2">
      <c r="B44" s="347"/>
      <c r="C44" s="345"/>
      <c r="D44" s="23">
        <v>10109003</v>
      </c>
      <c r="E44" s="4" t="s">
        <v>168</v>
      </c>
      <c r="F44" s="129">
        <v>5000</v>
      </c>
      <c r="G44" s="177"/>
      <c r="H44" s="167">
        <f t="shared" si="0"/>
        <v>0</v>
      </c>
      <c r="I44" s="168">
        <f t="shared" si="1"/>
        <v>0</v>
      </c>
    </row>
    <row r="45" spans="2:9" x14ac:dyDescent="0.2">
      <c r="B45" s="347"/>
      <c r="C45" s="345"/>
      <c r="D45" s="23">
        <v>10109004</v>
      </c>
      <c r="E45" s="4" t="s">
        <v>228</v>
      </c>
      <c r="F45" s="129">
        <v>5000</v>
      </c>
      <c r="G45" s="177"/>
      <c r="H45" s="167">
        <f t="shared" si="0"/>
        <v>0</v>
      </c>
      <c r="I45" s="168">
        <f t="shared" si="1"/>
        <v>0</v>
      </c>
    </row>
    <row r="46" spans="2:9" x14ac:dyDescent="0.2">
      <c r="B46" s="347"/>
      <c r="C46" s="345"/>
      <c r="D46" s="23">
        <v>10109005</v>
      </c>
      <c r="E46" s="4" t="s">
        <v>229</v>
      </c>
      <c r="F46" s="129">
        <v>5000</v>
      </c>
      <c r="G46" s="177"/>
      <c r="H46" s="167">
        <f t="shared" si="0"/>
        <v>0</v>
      </c>
      <c r="I46" s="168">
        <f t="shared" si="1"/>
        <v>0</v>
      </c>
    </row>
    <row r="47" spans="2:9" x14ac:dyDescent="0.2">
      <c r="B47" s="347"/>
      <c r="C47" s="345"/>
      <c r="D47" s="23">
        <v>10109006</v>
      </c>
      <c r="E47" s="4" t="s">
        <v>230</v>
      </c>
      <c r="F47" s="129">
        <v>1000</v>
      </c>
      <c r="G47" s="177"/>
      <c r="H47" s="167">
        <f t="shared" si="0"/>
        <v>0</v>
      </c>
      <c r="I47" s="168">
        <f t="shared" si="1"/>
        <v>0</v>
      </c>
    </row>
    <row r="48" spans="2:9" x14ac:dyDescent="0.2">
      <c r="B48" s="347"/>
      <c r="C48" s="346" t="s">
        <v>21</v>
      </c>
      <c r="D48" s="346"/>
      <c r="E48" s="346"/>
      <c r="F48" s="60">
        <f>SUM(F42:F47)</f>
        <v>31000</v>
      </c>
      <c r="G48" s="60">
        <f>SUM(G42:G47)</f>
        <v>0</v>
      </c>
      <c r="H48" s="167">
        <f t="shared" si="0"/>
        <v>0</v>
      </c>
      <c r="I48" s="168">
        <f t="shared" si="1"/>
        <v>0</v>
      </c>
    </row>
    <row r="49" spans="2:9" x14ac:dyDescent="0.2">
      <c r="B49" s="347"/>
      <c r="C49" s="348" t="s">
        <v>215</v>
      </c>
      <c r="D49" s="348"/>
      <c r="E49" s="348"/>
      <c r="F49" s="348"/>
      <c r="G49" s="348"/>
      <c r="H49" s="348"/>
      <c r="I49" s="348"/>
    </row>
    <row r="50" spans="2:9" x14ac:dyDescent="0.2">
      <c r="B50" s="347"/>
      <c r="C50" s="345">
        <v>10</v>
      </c>
      <c r="D50" s="23">
        <v>10110001</v>
      </c>
      <c r="E50" s="4" t="s">
        <v>169</v>
      </c>
      <c r="F50" s="129">
        <v>90000</v>
      </c>
      <c r="G50" s="177">
        <v>95584</v>
      </c>
      <c r="H50" s="167">
        <f t="shared" si="0"/>
        <v>1.0620444444444443</v>
      </c>
      <c r="I50" s="168">
        <f t="shared" si="1"/>
        <v>2.675624230209383E-3</v>
      </c>
    </row>
    <row r="51" spans="2:9" x14ac:dyDescent="0.2">
      <c r="B51" s="347"/>
      <c r="C51" s="345"/>
      <c r="D51" s="23">
        <v>10110002</v>
      </c>
      <c r="E51" s="4" t="s">
        <v>170</v>
      </c>
      <c r="F51" s="129">
        <v>20000</v>
      </c>
      <c r="G51" s="177">
        <v>22700</v>
      </c>
      <c r="H51" s="167">
        <f t="shared" si="0"/>
        <v>1.135</v>
      </c>
      <c r="I51" s="168">
        <f t="shared" si="1"/>
        <v>6.3542716381144329E-4</v>
      </c>
    </row>
    <row r="52" spans="2:9" x14ac:dyDescent="0.2">
      <c r="B52" s="347"/>
      <c r="C52" s="345"/>
      <c r="D52" s="23">
        <v>10110003</v>
      </c>
      <c r="E52" s="4" t="s">
        <v>171</v>
      </c>
      <c r="F52" s="129">
        <v>9000</v>
      </c>
      <c r="G52" s="177">
        <v>11350</v>
      </c>
      <c r="H52" s="167">
        <f t="shared" si="0"/>
        <v>1.2611111111111111</v>
      </c>
      <c r="I52" s="168">
        <f t="shared" si="1"/>
        <v>3.1771358190572165E-4</v>
      </c>
    </row>
    <row r="53" spans="2:9" x14ac:dyDescent="0.2">
      <c r="B53" s="347"/>
      <c r="C53" s="345"/>
      <c r="D53" s="23">
        <v>10110004</v>
      </c>
      <c r="E53" s="4" t="s">
        <v>172</v>
      </c>
      <c r="F53" s="129">
        <v>5000</v>
      </c>
      <c r="G53" s="177">
        <v>6900</v>
      </c>
      <c r="H53" s="167">
        <f t="shared" si="0"/>
        <v>1.38</v>
      </c>
      <c r="I53" s="168">
        <f t="shared" si="1"/>
        <v>1.9314746388982197E-4</v>
      </c>
    </row>
    <row r="54" spans="2:9" x14ac:dyDescent="0.2">
      <c r="B54" s="347"/>
      <c r="C54" s="345"/>
      <c r="D54" s="23">
        <v>10110005</v>
      </c>
      <c r="E54" s="4" t="s">
        <v>173</v>
      </c>
      <c r="F54" s="129">
        <v>1000</v>
      </c>
      <c r="G54" s="177">
        <v>1500</v>
      </c>
      <c r="H54" s="167">
        <f t="shared" si="0"/>
        <v>1.5</v>
      </c>
      <c r="I54" s="168">
        <f t="shared" si="1"/>
        <v>4.1988579106483035E-5</v>
      </c>
    </row>
    <row r="55" spans="2:9" x14ac:dyDescent="0.2">
      <c r="B55" s="347"/>
      <c r="C55" s="345"/>
      <c r="D55" s="23">
        <v>10110006</v>
      </c>
      <c r="E55" s="4" t="s">
        <v>174</v>
      </c>
      <c r="F55" s="129">
        <v>3000</v>
      </c>
      <c r="G55" s="177">
        <v>2101.1999999999998</v>
      </c>
      <c r="H55" s="167">
        <f t="shared" si="0"/>
        <v>0.70039999999999991</v>
      </c>
      <c r="I55" s="168">
        <f t="shared" si="1"/>
        <v>5.8817601612361433E-5</v>
      </c>
    </row>
    <row r="56" spans="2:9" x14ac:dyDescent="0.2">
      <c r="B56" s="347"/>
      <c r="C56" s="346" t="s">
        <v>21</v>
      </c>
      <c r="D56" s="346"/>
      <c r="E56" s="346"/>
      <c r="F56" s="60">
        <f>SUM(F50:F55)</f>
        <v>128000</v>
      </c>
      <c r="G56" s="60">
        <f>SUM(G50:G55)</f>
        <v>140135.20000000001</v>
      </c>
      <c r="H56" s="167">
        <f t="shared" si="0"/>
        <v>1.09480625</v>
      </c>
      <c r="I56" s="168">
        <f t="shared" si="1"/>
        <v>3.9227186205352147E-3</v>
      </c>
    </row>
    <row r="57" spans="2:9" x14ac:dyDescent="0.2">
      <c r="B57" s="347"/>
      <c r="C57" s="348" t="s">
        <v>216</v>
      </c>
      <c r="D57" s="348"/>
      <c r="E57" s="348"/>
      <c r="F57" s="348"/>
      <c r="G57" s="348"/>
      <c r="H57" s="348"/>
      <c r="I57" s="348"/>
    </row>
    <row r="58" spans="2:9" x14ac:dyDescent="0.2">
      <c r="B58" s="347"/>
      <c r="C58" s="345">
        <v>11</v>
      </c>
      <c r="D58" s="23">
        <v>10111001</v>
      </c>
      <c r="E58" s="4" t="s">
        <v>175</v>
      </c>
      <c r="F58" s="129">
        <v>500000</v>
      </c>
      <c r="G58" s="177">
        <v>1396064.3</v>
      </c>
      <c r="H58" s="167">
        <f t="shared" si="0"/>
        <v>2.7921286000000003</v>
      </c>
      <c r="I58" s="168">
        <f t="shared" si="1"/>
        <v>3.9079170865524579E-2</v>
      </c>
    </row>
    <row r="59" spans="2:9" x14ac:dyDescent="0.2">
      <c r="B59" s="347"/>
      <c r="C59" s="345"/>
      <c r="D59" s="23">
        <v>10111002</v>
      </c>
      <c r="E59" s="4" t="s">
        <v>176</v>
      </c>
      <c r="F59" s="129">
        <v>40000</v>
      </c>
      <c r="G59" s="177">
        <v>107731.49</v>
      </c>
      <c r="H59" s="167">
        <f t="shared" si="0"/>
        <v>2.69328725</v>
      </c>
      <c r="I59" s="168">
        <f t="shared" si="1"/>
        <v>3.0156614600828574E-3</v>
      </c>
    </row>
    <row r="60" spans="2:9" x14ac:dyDescent="0.2">
      <c r="B60" s="347"/>
      <c r="C60" s="345"/>
      <c r="D60" s="23">
        <v>10111003</v>
      </c>
      <c r="E60" s="4" t="s">
        <v>177</v>
      </c>
      <c r="F60" s="129">
        <v>10000</v>
      </c>
      <c r="G60" s="177">
        <v>14528.1</v>
      </c>
      <c r="H60" s="167">
        <f t="shared" si="0"/>
        <v>1.4528099999999999</v>
      </c>
      <c r="I60" s="168">
        <f t="shared" si="1"/>
        <v>4.0667618407793082E-4</v>
      </c>
    </row>
    <row r="61" spans="2:9" x14ac:dyDescent="0.2">
      <c r="B61" s="347"/>
      <c r="C61" s="345"/>
      <c r="D61" s="23">
        <v>10111004</v>
      </c>
      <c r="E61" s="4" t="s">
        <v>178</v>
      </c>
      <c r="F61" s="129">
        <v>10000</v>
      </c>
      <c r="G61" s="177">
        <v>16065</v>
      </c>
      <c r="H61" s="167">
        <f t="shared" si="0"/>
        <v>1.6065</v>
      </c>
      <c r="I61" s="168">
        <f t="shared" si="1"/>
        <v>4.4969768223043332E-4</v>
      </c>
    </row>
    <row r="62" spans="2:9" x14ac:dyDescent="0.2">
      <c r="B62" s="347"/>
      <c r="C62" s="345"/>
      <c r="D62" s="23">
        <v>10111005</v>
      </c>
      <c r="E62" s="4" t="s">
        <v>179</v>
      </c>
      <c r="F62" s="129">
        <v>17000</v>
      </c>
      <c r="G62" s="177">
        <v>26844.75</v>
      </c>
      <c r="H62" s="167">
        <f t="shared" si="0"/>
        <v>1.5791029411764705</v>
      </c>
      <c r="I62" s="168">
        <f t="shared" si="1"/>
        <v>7.5144860597917368E-4</v>
      </c>
    </row>
    <row r="63" spans="2:9" x14ac:dyDescent="0.2">
      <c r="B63" s="347"/>
      <c r="C63" s="346" t="s">
        <v>21</v>
      </c>
      <c r="D63" s="346"/>
      <c r="E63" s="346"/>
      <c r="F63" s="60">
        <f>SUM(F58:F62)</f>
        <v>577000</v>
      </c>
      <c r="G63" s="60">
        <f>SUM(G58:G62)</f>
        <v>1561233.6400000001</v>
      </c>
      <c r="H63" s="167">
        <f t="shared" si="0"/>
        <v>2.7057775389948011</v>
      </c>
      <c r="I63" s="168">
        <f t="shared" si="1"/>
        <v>4.3702654797894973E-2</v>
      </c>
    </row>
    <row r="64" spans="2:9" x14ac:dyDescent="0.2">
      <c r="B64" s="347"/>
      <c r="C64" s="348" t="s">
        <v>226</v>
      </c>
      <c r="D64" s="348"/>
      <c r="E64" s="348"/>
      <c r="F64" s="348"/>
      <c r="G64" s="348"/>
      <c r="H64" s="348"/>
      <c r="I64" s="348"/>
    </row>
    <row r="65" spans="2:9" x14ac:dyDescent="0.2">
      <c r="B65" s="347"/>
      <c r="C65" s="345">
        <v>20</v>
      </c>
      <c r="D65" s="23">
        <v>10120001</v>
      </c>
      <c r="E65" s="4" t="s">
        <v>307</v>
      </c>
      <c r="F65" s="129">
        <v>800000</v>
      </c>
      <c r="G65" s="177">
        <v>564219.56099999999</v>
      </c>
      <c r="H65" s="167">
        <f t="shared" si="0"/>
        <v>0.70527445124999999</v>
      </c>
      <c r="I65" s="168">
        <f t="shared" si="1"/>
        <v>1.5793851780315754E-2</v>
      </c>
    </row>
    <row r="66" spans="2:9" x14ac:dyDescent="0.2">
      <c r="B66" s="347"/>
      <c r="C66" s="345"/>
      <c r="D66" s="23">
        <v>10120002</v>
      </c>
      <c r="E66" s="4" t="s">
        <v>308</v>
      </c>
      <c r="F66" s="129">
        <v>80000</v>
      </c>
      <c r="G66" s="177">
        <v>6564.0290000000005</v>
      </c>
      <c r="H66" s="167">
        <f t="shared" si="0"/>
        <v>8.2050362500000001E-2</v>
      </c>
      <c r="I66" s="168">
        <f t="shared" si="1"/>
        <v>1.8374283394916583E-4</v>
      </c>
    </row>
    <row r="67" spans="2:9" x14ac:dyDescent="0.2">
      <c r="B67" s="347"/>
      <c r="C67" s="346" t="s">
        <v>21</v>
      </c>
      <c r="D67" s="346"/>
      <c r="E67" s="346"/>
      <c r="F67" s="60">
        <f>SUM(F65:F66)</f>
        <v>880000</v>
      </c>
      <c r="G67" s="60">
        <f>SUM(G65:G66)</f>
        <v>570783.59</v>
      </c>
      <c r="H67" s="167">
        <f t="shared" si="0"/>
        <v>0.6486177159090909</v>
      </c>
      <c r="I67" s="168">
        <f t="shared" si="1"/>
        <v>1.5977594614264918E-2</v>
      </c>
    </row>
    <row r="68" spans="2:9" x14ac:dyDescent="0.2">
      <c r="B68" s="321" t="s">
        <v>217</v>
      </c>
      <c r="C68" s="321"/>
      <c r="D68" s="321"/>
      <c r="E68" s="321"/>
      <c r="F68" s="61">
        <f>F12+F17+F24+F32+F40+F48+F56+F63+F67</f>
        <v>21233550</v>
      </c>
      <c r="G68" s="61">
        <f>G12+G17+G24+G32+G40+G48+G56+G63+G67</f>
        <v>19266506.261999998</v>
      </c>
      <c r="H68" s="167">
        <f t="shared" si="0"/>
        <v>0.90736152277880988</v>
      </c>
      <c r="I68" s="168">
        <f t="shared" si="1"/>
        <v>0.53931548152502518</v>
      </c>
    </row>
    <row r="69" spans="2:9" s="37" customFormat="1" x14ac:dyDescent="0.2">
      <c r="B69" s="339" t="s">
        <v>546</v>
      </c>
      <c r="C69" s="339"/>
      <c r="D69" s="339"/>
      <c r="E69" s="339"/>
      <c r="F69" s="54">
        <f>F68</f>
        <v>21233550</v>
      </c>
      <c r="G69" s="54">
        <f t="shared" ref="G69" si="2">G68</f>
        <v>19266506.261999998</v>
      </c>
      <c r="H69" s="167">
        <f t="shared" si="0"/>
        <v>0.90736152277880988</v>
      </c>
      <c r="I69" s="168">
        <f t="shared" si="1"/>
        <v>0.53931548152502518</v>
      </c>
    </row>
    <row r="70" spans="2:9" x14ac:dyDescent="0.2">
      <c r="B70" s="309" t="s">
        <v>789</v>
      </c>
      <c r="C70" s="309"/>
      <c r="D70" s="309"/>
      <c r="E70" s="309"/>
      <c r="F70" s="309"/>
      <c r="G70" s="309"/>
      <c r="H70" s="309"/>
      <c r="I70" s="309"/>
    </row>
    <row r="71" spans="2:9" x14ac:dyDescent="0.2">
      <c r="B71" s="334" t="s">
        <v>403</v>
      </c>
      <c r="C71" s="334"/>
      <c r="D71" s="334"/>
      <c r="E71" s="334"/>
      <c r="F71" s="334"/>
      <c r="G71" s="334"/>
      <c r="H71" s="334"/>
      <c r="I71" s="334"/>
    </row>
    <row r="72" spans="2:9" x14ac:dyDescent="0.2">
      <c r="B72" s="347">
        <v>12</v>
      </c>
      <c r="C72" s="348" t="s">
        <v>223</v>
      </c>
      <c r="D72" s="348"/>
      <c r="E72" s="348"/>
      <c r="F72" s="348"/>
      <c r="G72" s="348"/>
      <c r="H72" s="348"/>
      <c r="I72" s="348"/>
    </row>
    <row r="73" spans="2:9" x14ac:dyDescent="0.2">
      <c r="B73" s="347"/>
      <c r="C73" s="171">
        <v>1</v>
      </c>
      <c r="D73" s="23">
        <v>11201001</v>
      </c>
      <c r="E73" s="4" t="s">
        <v>312</v>
      </c>
      <c r="F73" s="129">
        <v>7600000</v>
      </c>
      <c r="G73" s="177">
        <v>7356033</v>
      </c>
      <c r="H73" s="167">
        <f t="shared" ref="H73:H135" si="3">IFERROR(G73/F73,"")</f>
        <v>0.96789907894736837</v>
      </c>
      <c r="I73" s="168">
        <f t="shared" ref="I73:I135" si="4">IFERROR(G73/$F$150,"")</f>
        <v>0.20591291568693315</v>
      </c>
    </row>
    <row r="74" spans="2:9" x14ac:dyDescent="0.2">
      <c r="B74" s="347"/>
      <c r="C74" s="346" t="s">
        <v>21</v>
      </c>
      <c r="D74" s="346"/>
      <c r="E74" s="346"/>
      <c r="F74" s="60">
        <f>SUM(F73:F73)</f>
        <v>7600000</v>
      </c>
      <c r="G74" s="60">
        <f>SUM(G73:G73)</f>
        <v>7356033</v>
      </c>
      <c r="H74" s="167">
        <f t="shared" si="3"/>
        <v>0.96789907894736837</v>
      </c>
      <c r="I74" s="168">
        <f t="shared" si="4"/>
        <v>0.20591291568693315</v>
      </c>
    </row>
    <row r="75" spans="2:9" x14ac:dyDescent="0.2">
      <c r="B75" s="321" t="s">
        <v>224</v>
      </c>
      <c r="C75" s="321"/>
      <c r="D75" s="321"/>
      <c r="E75" s="321"/>
      <c r="F75" s="61">
        <f>SUM(F74)</f>
        <v>7600000</v>
      </c>
      <c r="G75" s="61">
        <f t="shared" ref="G75:G76" si="5">SUM(G74)</f>
        <v>7356033</v>
      </c>
      <c r="H75" s="167">
        <f t="shared" si="3"/>
        <v>0.96789907894736837</v>
      </c>
      <c r="I75" s="168">
        <f t="shared" si="4"/>
        <v>0.20591291568693315</v>
      </c>
    </row>
    <row r="76" spans="2:9" x14ac:dyDescent="0.2">
      <c r="B76" s="339" t="s">
        <v>787</v>
      </c>
      <c r="C76" s="339"/>
      <c r="D76" s="339"/>
      <c r="E76" s="339"/>
      <c r="F76" s="54">
        <f>SUM(F75)</f>
        <v>7600000</v>
      </c>
      <c r="G76" s="54">
        <f t="shared" si="5"/>
        <v>7356033</v>
      </c>
      <c r="H76" s="167">
        <f t="shared" si="3"/>
        <v>0.96789907894736837</v>
      </c>
      <c r="I76" s="168">
        <f t="shared" si="4"/>
        <v>0.20591291568693315</v>
      </c>
    </row>
    <row r="77" spans="2:9" s="37" customFormat="1" x14ac:dyDescent="0.2">
      <c r="B77" s="309" t="s">
        <v>548</v>
      </c>
      <c r="C77" s="309"/>
      <c r="D77" s="309"/>
      <c r="E77" s="309"/>
      <c r="F77" s="309"/>
      <c r="G77" s="309"/>
      <c r="H77" s="309"/>
      <c r="I77" s="309"/>
    </row>
    <row r="78" spans="2:9" x14ac:dyDescent="0.2">
      <c r="B78" s="334" t="s">
        <v>788</v>
      </c>
      <c r="C78" s="334"/>
      <c r="D78" s="334"/>
      <c r="E78" s="334"/>
      <c r="F78" s="334"/>
      <c r="G78" s="334"/>
      <c r="H78" s="334"/>
      <c r="I78" s="334"/>
    </row>
    <row r="79" spans="2:9" x14ac:dyDescent="0.2">
      <c r="B79" s="347">
        <v>2</v>
      </c>
      <c r="C79" s="348" t="s">
        <v>180</v>
      </c>
      <c r="D79" s="348"/>
      <c r="E79" s="348"/>
      <c r="F79" s="348"/>
      <c r="G79" s="348"/>
      <c r="H79" s="348"/>
      <c r="I79" s="348"/>
    </row>
    <row r="80" spans="2:9" x14ac:dyDescent="0.2">
      <c r="B80" s="347"/>
      <c r="C80" s="171">
        <v>1</v>
      </c>
      <c r="D80" s="23">
        <v>10201001</v>
      </c>
      <c r="E80" s="4" t="s">
        <v>180</v>
      </c>
      <c r="F80" s="129">
        <v>300</v>
      </c>
      <c r="G80" s="177">
        <v>4918.0619999999999</v>
      </c>
      <c r="H80" s="167">
        <f t="shared" si="3"/>
        <v>16.393539999999998</v>
      </c>
      <c r="I80" s="168">
        <f t="shared" si="4"/>
        <v>1.3766829022505877E-4</v>
      </c>
    </row>
    <row r="81" spans="2:9" x14ac:dyDescent="0.2">
      <c r="B81" s="347"/>
      <c r="C81" s="346" t="s">
        <v>21</v>
      </c>
      <c r="D81" s="346"/>
      <c r="E81" s="346"/>
      <c r="F81" s="60">
        <f>SUM(F80)</f>
        <v>300</v>
      </c>
      <c r="G81" s="60">
        <f>SUM(G80)</f>
        <v>4918.0619999999999</v>
      </c>
      <c r="H81" s="167">
        <f t="shared" si="3"/>
        <v>16.393539999999998</v>
      </c>
      <c r="I81" s="168">
        <f t="shared" si="4"/>
        <v>1.3766829022505877E-4</v>
      </c>
    </row>
    <row r="82" spans="2:9" x14ac:dyDescent="0.2">
      <c r="B82" s="347"/>
      <c r="C82" s="348" t="s">
        <v>218</v>
      </c>
      <c r="D82" s="348"/>
      <c r="E82" s="348"/>
      <c r="F82" s="348"/>
      <c r="G82" s="348"/>
      <c r="H82" s="348"/>
      <c r="I82" s="348"/>
    </row>
    <row r="83" spans="2:9" x14ac:dyDescent="0.2">
      <c r="B83" s="347"/>
      <c r="C83" s="345">
        <v>3</v>
      </c>
      <c r="D83" s="23">
        <v>10203001</v>
      </c>
      <c r="E83" s="4" t="s">
        <v>181</v>
      </c>
      <c r="F83" s="129">
        <v>15000</v>
      </c>
      <c r="G83" s="177">
        <v>1046.25</v>
      </c>
      <c r="H83" s="167">
        <f t="shared" si="3"/>
        <v>6.9750000000000006E-2</v>
      </c>
      <c r="I83" s="168">
        <f t="shared" si="4"/>
        <v>2.9287033926771917E-5</v>
      </c>
    </row>
    <row r="84" spans="2:9" x14ac:dyDescent="0.2">
      <c r="B84" s="347"/>
      <c r="C84" s="345"/>
      <c r="D84" s="23">
        <v>10203002</v>
      </c>
      <c r="E84" s="4" t="s">
        <v>182</v>
      </c>
      <c r="F84" s="129">
        <v>1000</v>
      </c>
      <c r="G84" s="177">
        <v>50</v>
      </c>
      <c r="H84" s="167">
        <f t="shared" si="3"/>
        <v>0.05</v>
      </c>
      <c r="I84" s="168">
        <f t="shared" si="4"/>
        <v>1.3996193035494346E-6</v>
      </c>
    </row>
    <row r="85" spans="2:9" x14ac:dyDescent="0.2">
      <c r="B85" s="347"/>
      <c r="C85" s="345"/>
      <c r="D85" s="23">
        <v>10203003</v>
      </c>
      <c r="E85" s="4" t="s">
        <v>183</v>
      </c>
      <c r="F85" s="129">
        <v>3000</v>
      </c>
      <c r="G85" s="177">
        <v>5712.9920000000002</v>
      </c>
      <c r="H85" s="167">
        <f t="shared" si="3"/>
        <v>1.9043306666666668</v>
      </c>
      <c r="I85" s="168">
        <f t="shared" si="4"/>
        <v>1.5992027768446982E-4</v>
      </c>
    </row>
    <row r="86" spans="2:9" x14ac:dyDescent="0.2">
      <c r="B86" s="347"/>
      <c r="C86" s="345"/>
      <c r="D86" s="23">
        <v>10203004</v>
      </c>
      <c r="E86" s="4" t="s">
        <v>311</v>
      </c>
      <c r="F86" s="129">
        <v>3000</v>
      </c>
      <c r="G86" s="177">
        <v>736.75</v>
      </c>
      <c r="H86" s="167">
        <f t="shared" si="3"/>
        <v>0.24558333333333332</v>
      </c>
      <c r="I86" s="168">
        <f t="shared" si="4"/>
        <v>2.0623390437800918E-5</v>
      </c>
    </row>
    <row r="87" spans="2:9" x14ac:dyDescent="0.2">
      <c r="B87" s="347"/>
      <c r="C87" s="345"/>
      <c r="D87" s="23">
        <v>10203005</v>
      </c>
      <c r="E87" s="4" t="s">
        <v>184</v>
      </c>
      <c r="F87" s="129">
        <v>20000</v>
      </c>
      <c r="G87" s="177">
        <v>18900</v>
      </c>
      <c r="H87" s="167">
        <f t="shared" si="3"/>
        <v>0.94499999999999995</v>
      </c>
      <c r="I87" s="168">
        <f t="shared" si="4"/>
        <v>5.2905609674168625E-4</v>
      </c>
    </row>
    <row r="88" spans="2:9" x14ac:dyDescent="0.2">
      <c r="B88" s="347"/>
      <c r="C88" s="346" t="s">
        <v>21</v>
      </c>
      <c r="D88" s="346"/>
      <c r="E88" s="346"/>
      <c r="F88" s="60">
        <f>SUM(F83:F87)</f>
        <v>42000</v>
      </c>
      <c r="G88" s="60">
        <f>SUM(G83:G87)</f>
        <v>26445.991999999998</v>
      </c>
      <c r="H88" s="167">
        <f t="shared" si="3"/>
        <v>0.62966647619047611</v>
      </c>
      <c r="I88" s="168">
        <f t="shared" si="4"/>
        <v>7.4028641809427832E-4</v>
      </c>
    </row>
    <row r="89" spans="2:9" x14ac:dyDescent="0.2">
      <c r="B89" s="347"/>
      <c r="C89" s="348" t="s">
        <v>219</v>
      </c>
      <c r="D89" s="348"/>
      <c r="E89" s="348"/>
      <c r="F89" s="348"/>
      <c r="G89" s="348"/>
      <c r="H89" s="348"/>
      <c r="I89" s="348"/>
    </row>
    <row r="90" spans="2:9" x14ac:dyDescent="0.2">
      <c r="B90" s="347"/>
      <c r="C90" s="345">
        <v>4</v>
      </c>
      <c r="D90" s="23">
        <v>10204002</v>
      </c>
      <c r="E90" s="4" t="s">
        <v>185</v>
      </c>
      <c r="F90" s="129">
        <v>60000</v>
      </c>
      <c r="G90" s="177">
        <v>18350</v>
      </c>
      <c r="H90" s="167">
        <f t="shared" si="3"/>
        <v>0.30583333333333335</v>
      </c>
      <c r="I90" s="168">
        <f t="shared" si="4"/>
        <v>5.1366028440264248E-4</v>
      </c>
    </row>
    <row r="91" spans="2:9" x14ac:dyDescent="0.2">
      <c r="B91" s="347"/>
      <c r="C91" s="345"/>
      <c r="D91" s="23">
        <v>10204003</v>
      </c>
      <c r="E91" s="4" t="s">
        <v>186</v>
      </c>
      <c r="F91" s="129">
        <v>40000</v>
      </c>
      <c r="G91" s="177">
        <v>27625</v>
      </c>
      <c r="H91" s="167">
        <f t="shared" si="3"/>
        <v>0.69062500000000004</v>
      </c>
      <c r="I91" s="168">
        <f t="shared" si="4"/>
        <v>7.7328966521106259E-4</v>
      </c>
    </row>
    <row r="92" spans="2:9" x14ac:dyDescent="0.2">
      <c r="B92" s="347"/>
      <c r="C92" s="345"/>
      <c r="D92" s="23">
        <v>10204004</v>
      </c>
      <c r="E92" s="4" t="s">
        <v>187</v>
      </c>
      <c r="F92" s="129">
        <v>120000</v>
      </c>
      <c r="G92" s="177">
        <v>8575</v>
      </c>
      <c r="H92" s="167">
        <f t="shared" si="3"/>
        <v>7.1458333333333332E-2</v>
      </c>
      <c r="I92" s="168">
        <f t="shared" si="4"/>
        <v>2.4003471055872801E-4</v>
      </c>
    </row>
    <row r="93" spans="2:9" x14ac:dyDescent="0.2">
      <c r="B93" s="347"/>
      <c r="C93" s="345"/>
      <c r="D93" s="23">
        <v>10204007</v>
      </c>
      <c r="E93" s="4" t="s">
        <v>188</v>
      </c>
      <c r="F93" s="129">
        <v>2000</v>
      </c>
      <c r="G93" s="177"/>
      <c r="H93" s="167">
        <f t="shared" si="3"/>
        <v>0</v>
      </c>
      <c r="I93" s="168">
        <f t="shared" si="4"/>
        <v>0</v>
      </c>
    </row>
    <row r="94" spans="2:9" x14ac:dyDescent="0.2">
      <c r="B94" s="347"/>
      <c r="C94" s="345"/>
      <c r="D94" s="23">
        <v>10204009</v>
      </c>
      <c r="E94" s="4" t="s">
        <v>189</v>
      </c>
      <c r="F94" s="129">
        <v>7000</v>
      </c>
      <c r="G94" s="177"/>
      <c r="H94" s="167">
        <f t="shared" si="3"/>
        <v>0</v>
      </c>
      <c r="I94" s="168">
        <f t="shared" si="4"/>
        <v>0</v>
      </c>
    </row>
    <row r="95" spans="2:9" x14ac:dyDescent="0.2">
      <c r="B95" s="347"/>
      <c r="C95" s="345"/>
      <c r="D95" s="23">
        <v>10204019</v>
      </c>
      <c r="E95" s="4" t="s">
        <v>316</v>
      </c>
      <c r="F95" s="129">
        <v>42000</v>
      </c>
      <c r="G95" s="177"/>
      <c r="H95" s="167">
        <f t="shared" si="3"/>
        <v>0</v>
      </c>
      <c r="I95" s="168">
        <f t="shared" si="4"/>
        <v>0</v>
      </c>
    </row>
    <row r="96" spans="2:9" x14ac:dyDescent="0.2">
      <c r="B96" s="347"/>
      <c r="C96" s="345"/>
      <c r="D96" s="23">
        <v>10204020</v>
      </c>
      <c r="E96" s="4" t="s">
        <v>317</v>
      </c>
      <c r="F96" s="129">
        <v>117000</v>
      </c>
      <c r="G96" s="177">
        <v>10711.625</v>
      </c>
      <c r="H96" s="167">
        <f t="shared" si="3"/>
        <v>9.1552350427350424E-2</v>
      </c>
      <c r="I96" s="168">
        <f t="shared" si="4"/>
        <v>2.9984394244765426E-4</v>
      </c>
    </row>
    <row r="97" spans="2:9" x14ac:dyDescent="0.2">
      <c r="B97" s="347"/>
      <c r="C97" s="345"/>
      <c r="D97" s="23">
        <v>10204021</v>
      </c>
      <c r="E97" s="4" t="s">
        <v>318</v>
      </c>
      <c r="F97" s="129">
        <v>80000</v>
      </c>
      <c r="G97" s="177">
        <v>7191</v>
      </c>
      <c r="H97" s="167">
        <f t="shared" si="3"/>
        <v>8.9887499999999995E-2</v>
      </c>
      <c r="I97" s="168">
        <f t="shared" si="4"/>
        <v>2.0129324823647967E-4</v>
      </c>
    </row>
    <row r="98" spans="2:9" x14ac:dyDescent="0.2">
      <c r="B98" s="347"/>
      <c r="C98" s="345"/>
      <c r="D98" s="23">
        <v>10204022</v>
      </c>
      <c r="E98" s="4" t="s">
        <v>319</v>
      </c>
      <c r="F98" s="129">
        <v>50000</v>
      </c>
      <c r="G98" s="177">
        <v>30000</v>
      </c>
      <c r="H98" s="167">
        <f t="shared" si="3"/>
        <v>0.6</v>
      </c>
      <c r="I98" s="168">
        <f t="shared" si="4"/>
        <v>8.3977158212966078E-4</v>
      </c>
    </row>
    <row r="99" spans="2:9" x14ac:dyDescent="0.2">
      <c r="B99" s="347"/>
      <c r="C99" s="346" t="s">
        <v>21</v>
      </c>
      <c r="D99" s="346"/>
      <c r="E99" s="346"/>
      <c r="F99" s="60">
        <f>SUM(F90:F98)</f>
        <v>518000</v>
      </c>
      <c r="G99" s="60">
        <f>SUM(G90:G98)</f>
        <v>102452.625</v>
      </c>
      <c r="H99" s="167">
        <f t="shared" si="3"/>
        <v>0.19778499034749034</v>
      </c>
      <c r="I99" s="168">
        <f t="shared" si="4"/>
        <v>2.8678934329862279E-3</v>
      </c>
    </row>
    <row r="100" spans="2:9" x14ac:dyDescent="0.2">
      <c r="B100" s="347"/>
      <c r="C100" s="348" t="s">
        <v>231</v>
      </c>
      <c r="D100" s="348"/>
      <c r="E100" s="348"/>
      <c r="F100" s="348"/>
      <c r="G100" s="348"/>
      <c r="H100" s="348"/>
      <c r="I100" s="348"/>
    </row>
    <row r="101" spans="2:9" x14ac:dyDescent="0.2">
      <c r="B101" s="347"/>
      <c r="C101" s="6">
        <v>5</v>
      </c>
      <c r="D101" s="23">
        <v>10205001</v>
      </c>
      <c r="E101" s="4" t="s">
        <v>320</v>
      </c>
      <c r="F101" s="129">
        <v>100000</v>
      </c>
      <c r="G101" s="177">
        <v>133244.99299999999</v>
      </c>
      <c r="H101" s="167">
        <f t="shared" si="3"/>
        <v>1.3324499299999999</v>
      </c>
      <c r="I101" s="168">
        <f t="shared" si="4"/>
        <v>3.7298452860821851E-3</v>
      </c>
    </row>
    <row r="102" spans="2:9" x14ac:dyDescent="0.2">
      <c r="B102" s="347"/>
      <c r="C102" s="346" t="s">
        <v>21</v>
      </c>
      <c r="D102" s="346"/>
      <c r="E102" s="346"/>
      <c r="F102" s="60">
        <f>SUM(F101)</f>
        <v>100000</v>
      </c>
      <c r="G102" s="60">
        <f>SUM(G101)</f>
        <v>133244.99299999999</v>
      </c>
      <c r="H102" s="167">
        <f t="shared" si="3"/>
        <v>1.3324499299999999</v>
      </c>
      <c r="I102" s="168">
        <f t="shared" si="4"/>
        <v>3.7298452860821851E-3</v>
      </c>
    </row>
    <row r="103" spans="2:9" x14ac:dyDescent="0.2">
      <c r="B103" s="321" t="s">
        <v>785</v>
      </c>
      <c r="C103" s="321"/>
      <c r="D103" s="321"/>
      <c r="E103" s="321"/>
      <c r="F103" s="61">
        <f>F81+F88+F99+F102</f>
        <v>660300</v>
      </c>
      <c r="G103" s="61">
        <f t="shared" ref="G103" si="6">G81+G88+G99+G102</f>
        <v>267061.67200000002</v>
      </c>
      <c r="H103" s="167">
        <f t="shared" si="3"/>
        <v>0.40445505376344087</v>
      </c>
      <c r="I103" s="168">
        <f t="shared" si="4"/>
        <v>7.4756934273877513E-3</v>
      </c>
    </row>
    <row r="104" spans="2:9" x14ac:dyDescent="0.2">
      <c r="B104" s="334" t="s">
        <v>786</v>
      </c>
      <c r="C104" s="334"/>
      <c r="D104" s="334"/>
      <c r="E104" s="334"/>
      <c r="F104" s="334"/>
      <c r="G104" s="334"/>
      <c r="H104" s="334"/>
      <c r="I104" s="334"/>
    </row>
    <row r="105" spans="2:9" s="37" customFormat="1" x14ac:dyDescent="0.2">
      <c r="B105" s="347">
        <v>10</v>
      </c>
      <c r="C105" s="348" t="s">
        <v>220</v>
      </c>
      <c r="D105" s="348"/>
      <c r="E105" s="348"/>
      <c r="F105" s="348"/>
      <c r="G105" s="348"/>
      <c r="H105" s="348"/>
      <c r="I105" s="348"/>
    </row>
    <row r="106" spans="2:9" s="37" customFormat="1" x14ac:dyDescent="0.2">
      <c r="B106" s="347"/>
      <c r="C106" s="345">
        <v>1</v>
      </c>
      <c r="D106" s="23">
        <v>11001002</v>
      </c>
      <c r="E106" s="4" t="s">
        <v>190</v>
      </c>
      <c r="F106" s="129">
        <v>5000</v>
      </c>
      <c r="G106" s="177">
        <v>2560</v>
      </c>
      <c r="H106" s="167">
        <f t="shared" si="3"/>
        <v>0.51200000000000001</v>
      </c>
      <c r="I106" s="168">
        <f t="shared" si="4"/>
        <v>7.1660508341731043E-5</v>
      </c>
    </row>
    <row r="107" spans="2:9" s="37" customFormat="1" x14ac:dyDescent="0.2">
      <c r="B107" s="347"/>
      <c r="C107" s="345"/>
      <c r="D107" s="23">
        <v>11001004</v>
      </c>
      <c r="E107" s="4" t="s">
        <v>191</v>
      </c>
      <c r="F107" s="129">
        <v>5000</v>
      </c>
      <c r="G107" s="177">
        <v>3905</v>
      </c>
      <c r="H107" s="167">
        <f t="shared" si="3"/>
        <v>0.78100000000000003</v>
      </c>
      <c r="I107" s="168">
        <f t="shared" si="4"/>
        <v>1.0931026760721084E-4</v>
      </c>
    </row>
    <row r="108" spans="2:9" s="37" customFormat="1" x14ac:dyDescent="0.2">
      <c r="B108" s="347"/>
      <c r="C108" s="345"/>
      <c r="D108" s="23">
        <v>11001010</v>
      </c>
      <c r="E108" s="4" t="s">
        <v>426</v>
      </c>
      <c r="F108" s="129">
        <v>160000</v>
      </c>
      <c r="G108" s="177">
        <v>151582.386</v>
      </c>
      <c r="H108" s="167">
        <f t="shared" si="3"/>
        <v>0.94738991250000004</v>
      </c>
      <c r="I108" s="168">
        <f t="shared" si="4"/>
        <v>4.2431526704736315E-3</v>
      </c>
    </row>
    <row r="109" spans="2:9" s="37" customFormat="1" x14ac:dyDescent="0.2">
      <c r="B109" s="347"/>
      <c r="C109" s="345"/>
      <c r="D109" s="23">
        <v>11001011</v>
      </c>
      <c r="E109" s="4" t="s">
        <v>192</v>
      </c>
      <c r="F109" s="129">
        <v>4000</v>
      </c>
      <c r="G109" s="177">
        <v>2811</v>
      </c>
      <c r="H109" s="167">
        <f t="shared" si="3"/>
        <v>0.70274999999999999</v>
      </c>
      <c r="I109" s="168">
        <f t="shared" si="4"/>
        <v>7.8686597245549212E-5</v>
      </c>
    </row>
    <row r="110" spans="2:9" s="37" customFormat="1" x14ac:dyDescent="0.2">
      <c r="B110" s="347"/>
      <c r="C110" s="345"/>
      <c r="D110" s="23">
        <v>11001013</v>
      </c>
      <c r="E110" s="4" t="s">
        <v>193</v>
      </c>
      <c r="F110" s="129">
        <v>10000</v>
      </c>
      <c r="G110" s="177">
        <v>63400.743999999999</v>
      </c>
      <c r="H110" s="167">
        <f t="shared" si="3"/>
        <v>6.3400743999999998</v>
      </c>
      <c r="I110" s="168">
        <f t="shared" si="4"/>
        <v>1.7747381032359197E-3</v>
      </c>
    </row>
    <row r="111" spans="2:9" s="37" customFormat="1" x14ac:dyDescent="0.2">
      <c r="B111" s="347"/>
      <c r="C111" s="345"/>
      <c r="D111" s="23">
        <v>11001015</v>
      </c>
      <c r="E111" s="4" t="s">
        <v>194</v>
      </c>
      <c r="F111" s="129">
        <v>2000</v>
      </c>
      <c r="G111" s="177">
        <v>229.136</v>
      </c>
      <c r="H111" s="167">
        <f t="shared" si="3"/>
        <v>0.114568</v>
      </c>
      <c r="I111" s="168">
        <f t="shared" si="4"/>
        <v>6.414063374762065E-6</v>
      </c>
    </row>
    <row r="112" spans="2:9" s="37" customFormat="1" x14ac:dyDescent="0.2">
      <c r="B112" s="347"/>
      <c r="C112" s="345"/>
      <c r="D112" s="23">
        <v>11001017</v>
      </c>
      <c r="E112" s="4" t="s">
        <v>195</v>
      </c>
      <c r="F112" s="129">
        <v>2000</v>
      </c>
      <c r="G112" s="177"/>
      <c r="H112" s="167">
        <f t="shared" si="3"/>
        <v>0</v>
      </c>
      <c r="I112" s="168">
        <f t="shared" si="4"/>
        <v>0</v>
      </c>
    </row>
    <row r="113" spans="2:9" s="37" customFormat="1" x14ac:dyDescent="0.2">
      <c r="B113" s="347"/>
      <c r="C113" s="345"/>
      <c r="D113" s="23">
        <v>11001022</v>
      </c>
      <c r="E113" s="4" t="s">
        <v>196</v>
      </c>
      <c r="F113" s="129">
        <v>150000</v>
      </c>
      <c r="G113" s="177">
        <v>48598.891000000003</v>
      </c>
      <c r="H113" s="167">
        <f t="shared" si="3"/>
        <v>0.32399260666666668</v>
      </c>
      <c r="I113" s="168">
        <f t="shared" si="4"/>
        <v>1.3603989194938978E-3</v>
      </c>
    </row>
    <row r="114" spans="2:9" s="37" customFormat="1" x14ac:dyDescent="0.2">
      <c r="B114" s="347"/>
      <c r="C114" s="345"/>
      <c r="D114" s="23">
        <v>11001023</v>
      </c>
      <c r="E114" s="4" t="s">
        <v>197</v>
      </c>
      <c r="F114" s="129">
        <v>10000</v>
      </c>
      <c r="G114" s="177">
        <v>5223.2</v>
      </c>
      <c r="H114" s="167">
        <f t="shared" si="3"/>
        <v>0.52232000000000001</v>
      </c>
      <c r="I114" s="168">
        <f t="shared" si="4"/>
        <v>1.4620983092598813E-4</v>
      </c>
    </row>
    <row r="115" spans="2:9" s="37" customFormat="1" x14ac:dyDescent="0.2">
      <c r="B115" s="347"/>
      <c r="C115" s="345"/>
      <c r="D115" s="23">
        <v>11001025</v>
      </c>
      <c r="E115" s="4" t="s">
        <v>198</v>
      </c>
      <c r="F115" s="129">
        <v>10000</v>
      </c>
      <c r="G115" s="177">
        <v>330</v>
      </c>
      <c r="H115" s="167">
        <f t="shared" si="3"/>
        <v>3.3000000000000002E-2</v>
      </c>
      <c r="I115" s="168">
        <f t="shared" si="4"/>
        <v>9.2374874034262687E-6</v>
      </c>
    </row>
    <row r="116" spans="2:9" s="37" customFormat="1" x14ac:dyDescent="0.2">
      <c r="B116" s="347"/>
      <c r="C116" s="345"/>
      <c r="D116" s="23">
        <v>11001030</v>
      </c>
      <c r="E116" s="4" t="s">
        <v>199</v>
      </c>
      <c r="F116" s="129">
        <v>25000</v>
      </c>
      <c r="G116" s="177">
        <v>2146.4969999999998</v>
      </c>
      <c r="H116" s="167">
        <f t="shared" si="3"/>
        <v>8.585988E-2</v>
      </c>
      <c r="I116" s="168">
        <f t="shared" si="4"/>
        <v>6.0085572724219007E-5</v>
      </c>
    </row>
    <row r="117" spans="2:9" s="37" customFormat="1" x14ac:dyDescent="0.2">
      <c r="B117" s="347"/>
      <c r="C117" s="345"/>
      <c r="D117" s="23">
        <v>11001033</v>
      </c>
      <c r="E117" s="4" t="s">
        <v>200</v>
      </c>
      <c r="F117" s="129">
        <v>25000</v>
      </c>
      <c r="G117" s="177">
        <v>38027.428999999996</v>
      </c>
      <c r="H117" s="167">
        <f t="shared" si="3"/>
        <v>1.5210971599999998</v>
      </c>
      <c r="I117" s="168">
        <f t="shared" si="4"/>
        <v>1.0644784738551114E-3</v>
      </c>
    </row>
    <row r="118" spans="2:9" s="37" customFormat="1" x14ac:dyDescent="0.2">
      <c r="B118" s="347"/>
      <c r="C118" s="345"/>
      <c r="D118" s="23">
        <v>11001034</v>
      </c>
      <c r="E118" s="4" t="s">
        <v>201</v>
      </c>
      <c r="F118" s="129">
        <v>650</v>
      </c>
      <c r="G118" s="177">
        <v>120</v>
      </c>
      <c r="H118" s="167">
        <f t="shared" si="3"/>
        <v>0.18461538461538463</v>
      </c>
      <c r="I118" s="168">
        <f t="shared" si="4"/>
        <v>3.3590863285186431E-6</v>
      </c>
    </row>
    <row r="119" spans="2:9" s="37" customFormat="1" x14ac:dyDescent="0.2">
      <c r="B119" s="347"/>
      <c r="C119" s="345"/>
      <c r="D119" s="23">
        <v>11001035</v>
      </c>
      <c r="E119" s="4" t="s">
        <v>202</v>
      </c>
      <c r="F119" s="129">
        <v>20000</v>
      </c>
      <c r="G119" s="177">
        <v>7121.7120000000004</v>
      </c>
      <c r="H119" s="167">
        <f t="shared" si="3"/>
        <v>0.3560856</v>
      </c>
      <c r="I119" s="168">
        <f t="shared" si="4"/>
        <v>1.9935371179039302E-4</v>
      </c>
    </row>
    <row r="120" spans="2:9" s="37" customFormat="1" x14ac:dyDescent="0.2">
      <c r="B120" s="347"/>
      <c r="C120" s="345"/>
      <c r="D120" s="23">
        <v>11001036</v>
      </c>
      <c r="E120" s="4" t="s">
        <v>203</v>
      </c>
      <c r="F120" s="129">
        <v>2500</v>
      </c>
      <c r="G120" s="177">
        <v>1822.45</v>
      </c>
      <c r="H120" s="167">
        <f t="shared" si="3"/>
        <v>0.72898000000000007</v>
      </c>
      <c r="I120" s="168">
        <f t="shared" si="4"/>
        <v>5.1014723995073342E-5</v>
      </c>
    </row>
    <row r="121" spans="2:9" s="37" customFormat="1" x14ac:dyDescent="0.2">
      <c r="B121" s="347"/>
      <c r="C121" s="345"/>
      <c r="D121" s="23">
        <v>11001038</v>
      </c>
      <c r="E121" s="4" t="s">
        <v>473</v>
      </c>
      <c r="F121" s="129">
        <v>10000</v>
      </c>
      <c r="G121" s="177"/>
      <c r="H121" s="167">
        <f t="shared" si="3"/>
        <v>0</v>
      </c>
      <c r="I121" s="168">
        <f t="shared" si="4"/>
        <v>0</v>
      </c>
    </row>
    <row r="122" spans="2:9" s="37" customFormat="1" x14ac:dyDescent="0.2">
      <c r="B122" s="347"/>
      <c r="C122" s="345"/>
      <c r="D122" s="23">
        <v>11001039</v>
      </c>
      <c r="E122" s="4" t="s">
        <v>486</v>
      </c>
      <c r="F122" s="129">
        <v>5000</v>
      </c>
      <c r="G122" s="177"/>
      <c r="H122" s="167">
        <f t="shared" si="3"/>
        <v>0</v>
      </c>
      <c r="I122" s="168">
        <f t="shared" si="4"/>
        <v>0</v>
      </c>
    </row>
    <row r="123" spans="2:9" s="37" customFormat="1" x14ac:dyDescent="0.2">
      <c r="B123" s="347"/>
      <c r="C123" s="345"/>
      <c r="D123" s="23">
        <v>11001040</v>
      </c>
      <c r="E123" s="4" t="s">
        <v>481</v>
      </c>
      <c r="F123" s="129">
        <v>5000</v>
      </c>
      <c r="G123" s="177"/>
      <c r="H123" s="167">
        <f t="shared" si="3"/>
        <v>0</v>
      </c>
      <c r="I123" s="168">
        <f t="shared" si="4"/>
        <v>0</v>
      </c>
    </row>
    <row r="124" spans="2:9" s="37" customFormat="1" x14ac:dyDescent="0.2">
      <c r="B124" s="347"/>
      <c r="C124" s="345"/>
      <c r="D124" s="23">
        <v>11001041</v>
      </c>
      <c r="E124" s="4" t="s">
        <v>491</v>
      </c>
      <c r="F124" s="129">
        <v>90000</v>
      </c>
      <c r="G124" s="177">
        <v>82666</v>
      </c>
      <c r="H124" s="167">
        <f t="shared" si="3"/>
        <v>0.91851111111111106</v>
      </c>
      <c r="I124" s="168">
        <f t="shared" si="4"/>
        <v>2.3140185869443513E-3</v>
      </c>
    </row>
    <row r="125" spans="2:9" s="37" customFormat="1" x14ac:dyDescent="0.2">
      <c r="B125" s="347"/>
      <c r="C125" s="346" t="s">
        <v>21</v>
      </c>
      <c r="D125" s="346"/>
      <c r="E125" s="346"/>
      <c r="F125" s="60">
        <f>SUM(F106:F124)</f>
        <v>541150</v>
      </c>
      <c r="G125" s="60">
        <f t="shared" ref="G125" si="7">SUM(G106:G124)</f>
        <v>410544.44500000001</v>
      </c>
      <c r="H125" s="167">
        <f t="shared" si="3"/>
        <v>0.758651843296683</v>
      </c>
      <c r="I125" s="168">
        <f t="shared" si="4"/>
        <v>1.1492118603739783E-2</v>
      </c>
    </row>
    <row r="126" spans="2:9" s="37" customFormat="1" x14ac:dyDescent="0.2">
      <c r="B126" s="347"/>
      <c r="C126" s="348" t="s">
        <v>222</v>
      </c>
      <c r="D126" s="348"/>
      <c r="E126" s="348"/>
      <c r="F126" s="348"/>
      <c r="G126" s="348"/>
      <c r="H126" s="348"/>
      <c r="I126" s="348"/>
    </row>
    <row r="127" spans="2:9" s="37" customFormat="1" x14ac:dyDescent="0.2">
      <c r="B127" s="347"/>
      <c r="C127" s="6">
        <v>2</v>
      </c>
      <c r="D127" s="23">
        <v>11002001</v>
      </c>
      <c r="E127" s="4" t="s">
        <v>204</v>
      </c>
      <c r="F127" s="129">
        <v>150000</v>
      </c>
      <c r="G127" s="177">
        <v>113910</v>
      </c>
      <c r="H127" s="167">
        <f t="shared" si="3"/>
        <v>0.75939999999999996</v>
      </c>
      <c r="I127" s="168">
        <f t="shared" si="4"/>
        <v>3.1886126973463217E-3</v>
      </c>
    </row>
    <row r="128" spans="2:9" s="37" customFormat="1" x14ac:dyDescent="0.2">
      <c r="B128" s="347"/>
      <c r="C128" s="346" t="s">
        <v>21</v>
      </c>
      <c r="D128" s="346"/>
      <c r="E128" s="346"/>
      <c r="F128" s="60">
        <f>SUM(F127)</f>
        <v>150000</v>
      </c>
      <c r="G128" s="60">
        <f>SUM(G127)</f>
        <v>113910</v>
      </c>
      <c r="H128" s="167">
        <f t="shared" si="3"/>
        <v>0.75939999999999996</v>
      </c>
      <c r="I128" s="168">
        <f t="shared" si="4"/>
        <v>3.1886126973463217E-3</v>
      </c>
    </row>
    <row r="129" spans="2:9" s="37" customFormat="1" x14ac:dyDescent="0.2">
      <c r="B129" s="347"/>
      <c r="C129" s="348" t="s">
        <v>221</v>
      </c>
      <c r="D129" s="348"/>
      <c r="E129" s="348"/>
      <c r="F129" s="348"/>
      <c r="G129" s="348"/>
      <c r="H129" s="348"/>
      <c r="I129" s="348"/>
    </row>
    <row r="130" spans="2:9" s="37" customFormat="1" x14ac:dyDescent="0.2">
      <c r="B130" s="347"/>
      <c r="C130" s="6">
        <v>3</v>
      </c>
      <c r="D130" s="23">
        <v>11003004</v>
      </c>
      <c r="E130" s="4" t="s">
        <v>227</v>
      </c>
      <c r="F130" s="129">
        <v>50000</v>
      </c>
      <c r="G130" s="177">
        <v>28031.5</v>
      </c>
      <c r="H130" s="167">
        <f t="shared" si="3"/>
        <v>0.56062999999999996</v>
      </c>
      <c r="I130" s="168">
        <f t="shared" si="4"/>
        <v>7.8466857014891948E-4</v>
      </c>
    </row>
    <row r="131" spans="2:9" s="37" customFormat="1" x14ac:dyDescent="0.2">
      <c r="B131" s="347"/>
      <c r="C131" s="346" t="s">
        <v>21</v>
      </c>
      <c r="D131" s="346"/>
      <c r="E131" s="346"/>
      <c r="F131" s="60">
        <f>SUM(F130)</f>
        <v>50000</v>
      </c>
      <c r="G131" s="60">
        <f>SUM(G130)</f>
        <v>28031.5</v>
      </c>
      <c r="H131" s="167">
        <f t="shared" si="3"/>
        <v>0.56062999999999996</v>
      </c>
      <c r="I131" s="168">
        <f t="shared" si="4"/>
        <v>7.8466857014891948E-4</v>
      </c>
    </row>
    <row r="132" spans="2:9" s="37" customFormat="1" x14ac:dyDescent="0.2">
      <c r="B132" s="347"/>
      <c r="C132" s="348" t="s">
        <v>205</v>
      </c>
      <c r="D132" s="348"/>
      <c r="E132" s="348"/>
      <c r="F132" s="348"/>
      <c r="G132" s="348"/>
      <c r="H132" s="348"/>
      <c r="I132" s="348"/>
    </row>
    <row r="133" spans="2:9" s="37" customFormat="1" x14ac:dyDescent="0.2">
      <c r="B133" s="347"/>
      <c r="C133" s="6">
        <v>7</v>
      </c>
      <c r="D133" s="23">
        <v>11007001</v>
      </c>
      <c r="E133" s="4" t="s">
        <v>205</v>
      </c>
      <c r="F133" s="129">
        <v>100000</v>
      </c>
      <c r="G133" s="177">
        <v>100000</v>
      </c>
      <c r="H133" s="167">
        <f t="shared" si="3"/>
        <v>1</v>
      </c>
      <c r="I133" s="168">
        <f t="shared" si="4"/>
        <v>2.7992386070988689E-3</v>
      </c>
    </row>
    <row r="134" spans="2:9" s="37" customFormat="1" x14ac:dyDescent="0.2">
      <c r="B134" s="347"/>
      <c r="C134" s="346" t="s">
        <v>21</v>
      </c>
      <c r="D134" s="346"/>
      <c r="E134" s="346"/>
      <c r="F134" s="60">
        <f>SUM(F133)</f>
        <v>100000</v>
      </c>
      <c r="G134" s="60">
        <f>SUM(G133)</f>
        <v>100000</v>
      </c>
      <c r="H134" s="167">
        <f t="shared" si="3"/>
        <v>1</v>
      </c>
      <c r="I134" s="168">
        <f t="shared" si="4"/>
        <v>2.7992386070988689E-3</v>
      </c>
    </row>
    <row r="135" spans="2:9" x14ac:dyDescent="0.2">
      <c r="B135" s="321" t="s">
        <v>791</v>
      </c>
      <c r="C135" s="321"/>
      <c r="D135" s="321"/>
      <c r="E135" s="321"/>
      <c r="F135" s="61">
        <f>F125+F128+F131+F134</f>
        <v>841150</v>
      </c>
      <c r="G135" s="61">
        <f>G125+G128+G131+G134</f>
        <v>652485.94500000007</v>
      </c>
      <c r="H135" s="167">
        <f t="shared" si="3"/>
        <v>0.77570700231825485</v>
      </c>
      <c r="I135" s="168">
        <f t="shared" si="4"/>
        <v>1.8264638478333897E-2</v>
      </c>
    </row>
    <row r="136" spans="2:9" x14ac:dyDescent="0.2">
      <c r="B136" s="339" t="s">
        <v>549</v>
      </c>
      <c r="C136" s="339"/>
      <c r="D136" s="339"/>
      <c r="E136" s="339"/>
      <c r="F136" s="54">
        <f>F103+F135</f>
        <v>1501450</v>
      </c>
      <c r="G136" s="54">
        <f t="shared" ref="G136" si="8">G103+G135</f>
        <v>919547.61700000009</v>
      </c>
      <c r="H136" s="167">
        <f t="shared" ref="H136:H150" si="9">IFERROR(G136/F136,"")</f>
        <v>0.61243971960438248</v>
      </c>
      <c r="I136" s="168">
        <f t="shared" ref="I136:I150" si="10">IFERROR(G136/$F$150,"")</f>
        <v>2.5740331905721645E-2</v>
      </c>
    </row>
    <row r="137" spans="2:9" x14ac:dyDescent="0.2">
      <c r="B137" s="309" t="s">
        <v>792</v>
      </c>
      <c r="C137" s="309"/>
      <c r="D137" s="309"/>
      <c r="E137" s="309"/>
      <c r="F137" s="309"/>
      <c r="G137" s="309"/>
      <c r="H137" s="309"/>
      <c r="I137" s="309"/>
    </row>
    <row r="138" spans="2:9" x14ac:dyDescent="0.2">
      <c r="B138" s="334" t="s">
        <v>404</v>
      </c>
      <c r="C138" s="334"/>
      <c r="D138" s="334"/>
      <c r="E138" s="334"/>
      <c r="F138" s="334"/>
      <c r="G138" s="334"/>
      <c r="H138" s="334"/>
      <c r="I138" s="334"/>
    </row>
    <row r="139" spans="2:9" x14ac:dyDescent="0.2">
      <c r="B139" s="347">
        <v>22</v>
      </c>
      <c r="C139" s="348" t="s">
        <v>206</v>
      </c>
      <c r="D139" s="348"/>
      <c r="E139" s="348"/>
      <c r="F139" s="348"/>
      <c r="G139" s="348"/>
      <c r="H139" s="348"/>
      <c r="I139" s="348"/>
    </row>
    <row r="140" spans="2:9" x14ac:dyDescent="0.2">
      <c r="B140" s="347"/>
      <c r="C140" s="345">
        <v>1</v>
      </c>
      <c r="D140" s="23">
        <v>12201001</v>
      </c>
      <c r="E140" s="4" t="s">
        <v>206</v>
      </c>
      <c r="F140" s="129">
        <v>50000</v>
      </c>
      <c r="G140" s="177">
        <v>3000</v>
      </c>
      <c r="H140" s="167">
        <f t="shared" si="9"/>
        <v>0.06</v>
      </c>
      <c r="I140" s="168">
        <f t="shared" si="10"/>
        <v>8.397715821296607E-5</v>
      </c>
    </row>
    <row r="141" spans="2:9" x14ac:dyDescent="0.2">
      <c r="B141" s="347"/>
      <c r="C141" s="345"/>
      <c r="D141" s="23">
        <v>12201003</v>
      </c>
      <c r="E141" s="4" t="s">
        <v>313</v>
      </c>
      <c r="F141" s="129">
        <v>25000</v>
      </c>
      <c r="G141" s="177">
        <v>24000</v>
      </c>
      <c r="H141" s="167">
        <f t="shared" si="9"/>
        <v>0.96</v>
      </c>
      <c r="I141" s="168">
        <f t="shared" si="10"/>
        <v>6.7181726570372856E-4</v>
      </c>
    </row>
    <row r="142" spans="2:9" x14ac:dyDescent="0.2">
      <c r="B142" s="347"/>
      <c r="C142" s="346" t="s">
        <v>21</v>
      </c>
      <c r="D142" s="346"/>
      <c r="E142" s="346"/>
      <c r="F142" s="60">
        <f>SUM(F140:F141)</f>
        <v>75000</v>
      </c>
      <c r="G142" s="60">
        <f>SUM(G140:G141)</f>
        <v>27000</v>
      </c>
      <c r="H142" s="167">
        <f t="shared" si="9"/>
        <v>0.36</v>
      </c>
      <c r="I142" s="168">
        <f t="shared" si="10"/>
        <v>7.5579442391669467E-4</v>
      </c>
    </row>
    <row r="143" spans="2:9" x14ac:dyDescent="0.2">
      <c r="B143" s="321" t="s">
        <v>225</v>
      </c>
      <c r="C143" s="321"/>
      <c r="D143" s="321"/>
      <c r="E143" s="321"/>
      <c r="F143" s="61">
        <f>SUM(F142)</f>
        <v>75000</v>
      </c>
      <c r="G143" s="61">
        <f t="shared" ref="G143:G144" si="11">SUM(G142)</f>
        <v>27000</v>
      </c>
      <c r="H143" s="167">
        <f t="shared" si="9"/>
        <v>0.36</v>
      </c>
      <c r="I143" s="168">
        <f t="shared" si="10"/>
        <v>7.5579442391669467E-4</v>
      </c>
    </row>
    <row r="144" spans="2:9" x14ac:dyDescent="0.2">
      <c r="B144" s="339" t="s">
        <v>790</v>
      </c>
      <c r="C144" s="339"/>
      <c r="D144" s="339"/>
      <c r="E144" s="339"/>
      <c r="F144" s="54">
        <f>SUM(F143)</f>
        <v>75000</v>
      </c>
      <c r="G144" s="54">
        <f t="shared" si="11"/>
        <v>27000</v>
      </c>
      <c r="H144" s="167">
        <f t="shared" si="9"/>
        <v>0.36</v>
      </c>
      <c r="I144" s="168">
        <f t="shared" si="10"/>
        <v>7.5579442391669467E-4</v>
      </c>
    </row>
    <row r="145" spans="2:9" x14ac:dyDescent="0.2">
      <c r="B145" s="342" t="s">
        <v>530</v>
      </c>
      <c r="C145" s="342"/>
      <c r="D145" s="342"/>
      <c r="E145" s="342"/>
      <c r="F145" s="83">
        <f>F69+F136+F76+F144</f>
        <v>30410000</v>
      </c>
      <c r="G145" s="83">
        <f>G69+G136+G76+G144</f>
        <v>27569086.878999997</v>
      </c>
      <c r="H145" s="167">
        <f t="shared" si="9"/>
        <v>0.90657964087471221</v>
      </c>
      <c r="I145" s="168">
        <f t="shared" si="10"/>
        <v>0.7717245235415966</v>
      </c>
    </row>
    <row r="146" spans="2:9" x14ac:dyDescent="0.2">
      <c r="B146" s="312" t="s">
        <v>208</v>
      </c>
      <c r="C146" s="312"/>
      <c r="D146" s="312"/>
      <c r="E146" s="312"/>
      <c r="F146" s="312"/>
      <c r="G146" s="312"/>
      <c r="H146" s="312"/>
      <c r="I146" s="312"/>
    </row>
    <row r="147" spans="2:9" x14ac:dyDescent="0.2">
      <c r="B147" s="355">
        <v>81</v>
      </c>
      <c r="C147" s="348" t="s">
        <v>208</v>
      </c>
      <c r="D147" s="348"/>
      <c r="E147" s="348"/>
      <c r="F147" s="348"/>
      <c r="G147" s="348"/>
      <c r="H147" s="348"/>
      <c r="I147" s="348"/>
    </row>
    <row r="148" spans="2:9" x14ac:dyDescent="0.2">
      <c r="B148" s="355"/>
      <c r="C148" s="171">
        <v>1</v>
      </c>
      <c r="D148" s="23">
        <v>18101001</v>
      </c>
      <c r="E148" s="4" t="s">
        <v>208</v>
      </c>
      <c r="F148" s="129">
        <f>'ن-فرعي'!F351-'ر-فرعي'!F145</f>
        <v>5314000</v>
      </c>
      <c r="G148" s="183">
        <f>'ن-فرعي'!H351-'ر-فرعي'!G145</f>
        <v>107525.73000000417</v>
      </c>
      <c r="H148" s="167">
        <f t="shared" si="9"/>
        <v>2.0234424162590171E-2</v>
      </c>
      <c r="I148" s="168">
        <f t="shared" si="10"/>
        <v>3.0099017467250075E-3</v>
      </c>
    </row>
    <row r="149" spans="2:9" x14ac:dyDescent="0.2">
      <c r="B149" s="354" t="s">
        <v>503</v>
      </c>
      <c r="C149" s="354"/>
      <c r="D149" s="354"/>
      <c r="E149" s="354"/>
      <c r="F149" s="53">
        <f>SUM(F148:F148)</f>
        <v>5314000</v>
      </c>
      <c r="G149" s="53">
        <f>SUM(G148:G148)</f>
        <v>107525.73000000417</v>
      </c>
      <c r="H149" s="167">
        <f t="shared" si="9"/>
        <v>2.0234424162590171E-2</v>
      </c>
      <c r="I149" s="168">
        <f t="shared" si="10"/>
        <v>3.0099017467250075E-3</v>
      </c>
    </row>
    <row r="150" spans="2:9" x14ac:dyDescent="0.2">
      <c r="B150" s="329" t="s">
        <v>524</v>
      </c>
      <c r="C150" s="329"/>
      <c r="D150" s="329"/>
      <c r="E150" s="329"/>
      <c r="F150" s="81">
        <f>F145+F149</f>
        <v>35724000</v>
      </c>
      <c r="G150" s="81">
        <f>G145+G149</f>
        <v>27676612.609000001</v>
      </c>
      <c r="H150" s="167">
        <f t="shared" si="9"/>
        <v>0.77473442528832159</v>
      </c>
      <c r="I150" s="168">
        <f t="shared" si="10"/>
        <v>0.77473442528832159</v>
      </c>
    </row>
    <row r="151" spans="2:9" x14ac:dyDescent="0.2">
      <c r="B151" s="5"/>
      <c r="C151" s="5"/>
      <c r="D151" s="5"/>
      <c r="E151" s="5"/>
      <c r="F151" s="42">
        <f>F150-'ن-فرعي'!F351</f>
        <v>0</v>
      </c>
      <c r="G151" s="42">
        <f>G150-'ن-فرعي'!H351</f>
        <v>0</v>
      </c>
      <c r="H151" s="205"/>
      <c r="I151" s="205"/>
    </row>
    <row r="152" spans="2:9" s="37" customFormat="1" x14ac:dyDescent="0.2">
      <c r="B152" s="351"/>
      <c r="C152" s="351"/>
      <c r="D152" s="351"/>
      <c r="E152" s="351"/>
      <c r="F152" s="351"/>
      <c r="G152" s="351"/>
      <c r="H152" s="351"/>
      <c r="I152" s="351"/>
    </row>
    <row r="153" spans="2:9" s="37" customFormat="1" x14ac:dyDescent="0.2">
      <c r="B153" s="315" t="s">
        <v>516</v>
      </c>
      <c r="C153" s="315"/>
      <c r="D153" s="315"/>
      <c r="E153" s="315"/>
      <c r="F153" s="328">
        <v>2020</v>
      </c>
      <c r="G153" s="328"/>
      <c r="H153" s="328"/>
      <c r="I153" s="328"/>
    </row>
    <row r="154" spans="2:9" s="37" customFormat="1" x14ac:dyDescent="0.2">
      <c r="B154" s="309" t="s">
        <v>532</v>
      </c>
      <c r="C154" s="309"/>
      <c r="D154" s="309"/>
      <c r="E154" s="309"/>
      <c r="F154" s="309"/>
      <c r="G154" s="309"/>
      <c r="H154" s="309"/>
      <c r="I154" s="309"/>
    </row>
    <row r="155" spans="2:9" s="37" customFormat="1" x14ac:dyDescent="0.2">
      <c r="B155" s="350" t="s">
        <v>573</v>
      </c>
      <c r="C155" s="350"/>
      <c r="D155" s="350"/>
      <c r="E155" s="350"/>
      <c r="F155" s="350"/>
      <c r="G155" s="350"/>
      <c r="H155" s="350"/>
      <c r="I155" s="350"/>
    </row>
    <row r="156" spans="2:9" s="37" customFormat="1" x14ac:dyDescent="0.2">
      <c r="B156" s="353">
        <v>72</v>
      </c>
      <c r="C156" s="348" t="s">
        <v>573</v>
      </c>
      <c r="D156" s="348"/>
      <c r="E156" s="348"/>
      <c r="F156" s="348"/>
      <c r="G156" s="348"/>
      <c r="H156" s="348"/>
      <c r="I156" s="348"/>
    </row>
    <row r="157" spans="2:9" s="37" customFormat="1" x14ac:dyDescent="0.2">
      <c r="B157" s="353"/>
      <c r="C157" s="345">
        <v>2</v>
      </c>
      <c r="D157" s="143"/>
      <c r="E157" s="144" t="s">
        <v>795</v>
      </c>
      <c r="F157" s="129"/>
      <c r="G157" s="177"/>
      <c r="H157" s="167" t="str">
        <f>IFERROR(G157/F157,"")</f>
        <v/>
      </c>
      <c r="I157" s="168">
        <f>IFERROR(G157/$F$162,"")</f>
        <v>0</v>
      </c>
    </row>
    <row r="158" spans="2:9" s="37" customFormat="1" x14ac:dyDescent="0.2">
      <c r="B158" s="353"/>
      <c r="C158" s="345"/>
      <c r="D158" s="9">
        <v>17202001</v>
      </c>
      <c r="E158" s="4" t="s">
        <v>207</v>
      </c>
      <c r="F158" s="129">
        <v>7000000</v>
      </c>
      <c r="G158" s="177">
        <v>7000000</v>
      </c>
      <c r="H158" s="167">
        <f t="shared" ref="H158:H162" si="12">IFERROR(G158/F158,"")</f>
        <v>1</v>
      </c>
      <c r="I158" s="168">
        <f t="shared" ref="I158:I162" si="13">IFERROR(G158/$F$162,"")</f>
        <v>0.30316154179298399</v>
      </c>
    </row>
    <row r="159" spans="2:9" s="37" customFormat="1" x14ac:dyDescent="0.2">
      <c r="B159" s="353"/>
      <c r="C159" s="345"/>
      <c r="D159" s="146">
        <v>17202002</v>
      </c>
      <c r="E159" s="147" t="s">
        <v>575</v>
      </c>
      <c r="F159" s="129">
        <v>2000000</v>
      </c>
      <c r="G159" s="177">
        <v>1999946</v>
      </c>
      <c r="H159" s="167">
        <f t="shared" si="12"/>
        <v>0.999973</v>
      </c>
      <c r="I159" s="168">
        <f t="shared" si="13"/>
        <v>8.6615244694673021E-2</v>
      </c>
    </row>
    <row r="160" spans="2:9" s="37" customFormat="1" x14ac:dyDescent="0.2">
      <c r="B160" s="353"/>
      <c r="C160" s="345"/>
      <c r="D160" s="23">
        <v>18201001</v>
      </c>
      <c r="E160" s="5" t="s">
        <v>567</v>
      </c>
      <c r="F160" s="92">
        <f>'ن-فرعي'!F363-F157-F158-F159</f>
        <v>14090000</v>
      </c>
      <c r="G160" s="177">
        <f>'ن-فرعي'!H363-G157-G158-G159</f>
        <v>6483061.6050000042</v>
      </c>
      <c r="H160" s="167">
        <f t="shared" si="12"/>
        <v>0.4601179279630947</v>
      </c>
      <c r="I160" s="168">
        <f t="shared" si="13"/>
        <v>0.28077356453009977</v>
      </c>
    </row>
    <row r="161" spans="2:9" s="37" customFormat="1" x14ac:dyDescent="0.2">
      <c r="B161" s="321" t="s">
        <v>568</v>
      </c>
      <c r="C161" s="321"/>
      <c r="D161" s="321"/>
      <c r="E161" s="321"/>
      <c r="F161" s="61">
        <f>SUM(F157:F160)</f>
        <v>23090000</v>
      </c>
      <c r="G161" s="61">
        <f>SUM(G157:G160)</f>
        <v>15483007.605000004</v>
      </c>
      <c r="H161" s="167">
        <f t="shared" si="12"/>
        <v>0.67055035101775684</v>
      </c>
      <c r="I161" s="168">
        <f t="shared" si="13"/>
        <v>0.67055035101775684</v>
      </c>
    </row>
    <row r="162" spans="2:9" s="37" customFormat="1" x14ac:dyDescent="0.2">
      <c r="B162" s="337" t="s">
        <v>525</v>
      </c>
      <c r="C162" s="337"/>
      <c r="D162" s="337"/>
      <c r="E162" s="337"/>
      <c r="F162" s="59">
        <f>SUM(F161)</f>
        <v>23090000</v>
      </c>
      <c r="G162" s="59">
        <f>SUM(G161)</f>
        <v>15483007.605000004</v>
      </c>
      <c r="H162" s="167">
        <f t="shared" si="12"/>
        <v>0.67055035101775684</v>
      </c>
      <c r="I162" s="168">
        <f t="shared" si="13"/>
        <v>0.67055035101775684</v>
      </c>
    </row>
    <row r="163" spans="2:9" s="37" customFormat="1" x14ac:dyDescent="0.2">
      <c r="B163" s="357"/>
      <c r="C163" s="357"/>
      <c r="D163" s="357"/>
      <c r="E163" s="357"/>
      <c r="F163" s="357"/>
      <c r="G163" s="357"/>
      <c r="H163" s="205"/>
      <c r="I163" s="205"/>
    </row>
    <row r="164" spans="2:9" x14ac:dyDescent="0.2">
      <c r="B164" s="315" t="s">
        <v>528</v>
      </c>
      <c r="C164" s="315"/>
      <c r="D164" s="315"/>
      <c r="E164" s="315"/>
      <c r="F164" s="328">
        <v>2020</v>
      </c>
      <c r="G164" s="328"/>
      <c r="H164" s="328"/>
      <c r="I164" s="328"/>
    </row>
    <row r="165" spans="2:9" x14ac:dyDescent="0.2">
      <c r="B165" s="309" t="s">
        <v>559</v>
      </c>
      <c r="C165" s="309"/>
      <c r="D165" s="309"/>
      <c r="E165" s="309"/>
      <c r="F165" s="309"/>
      <c r="G165" s="309"/>
      <c r="H165" s="309"/>
      <c r="I165" s="309"/>
    </row>
    <row r="166" spans="2:9" x14ac:dyDescent="0.2">
      <c r="B166" s="338" t="s">
        <v>537</v>
      </c>
      <c r="C166" s="338"/>
      <c r="D166" s="338"/>
      <c r="E166" s="338"/>
      <c r="F166" s="338"/>
      <c r="G166" s="338"/>
      <c r="H166" s="338"/>
      <c r="I166" s="338"/>
    </row>
    <row r="167" spans="2:9" x14ac:dyDescent="0.2">
      <c r="B167" s="353">
        <v>93</v>
      </c>
      <c r="C167" s="348" t="str">
        <f>'ن-فرعي'!C369:I369</f>
        <v>مشاريع مشروطة بالتمويل</v>
      </c>
      <c r="D167" s="348"/>
      <c r="E167" s="348"/>
      <c r="F167" s="348"/>
      <c r="G167" s="348"/>
      <c r="H167" s="348"/>
      <c r="I167" s="348"/>
    </row>
    <row r="168" spans="2:9" x14ac:dyDescent="0.2">
      <c r="B168" s="353"/>
      <c r="C168" s="345">
        <v>1</v>
      </c>
      <c r="D168" s="23">
        <v>19301002</v>
      </c>
      <c r="E168" s="5" t="s">
        <v>510</v>
      </c>
      <c r="F168" s="129">
        <v>500000</v>
      </c>
      <c r="G168" s="177"/>
      <c r="H168" s="167">
        <f t="shared" ref="H168" si="14">IFERROR(G168/F168,"")</f>
        <v>0</v>
      </c>
      <c r="I168" s="168">
        <f>IFERROR(G168/$F$187,"")</f>
        <v>0</v>
      </c>
    </row>
    <row r="169" spans="2:9" s="37" customFormat="1" x14ac:dyDescent="0.2">
      <c r="B169" s="353"/>
      <c r="C169" s="345"/>
      <c r="D169" s="95">
        <v>19301006</v>
      </c>
      <c r="E169" s="43" t="s">
        <v>511</v>
      </c>
      <c r="F169" s="129">
        <v>1500000</v>
      </c>
      <c r="G169" s="177"/>
      <c r="H169" s="167">
        <f t="shared" ref="H169:H187" si="15">IFERROR(G169/F169,"")</f>
        <v>0</v>
      </c>
      <c r="I169" s="168">
        <f t="shared" ref="I169:I187" si="16">IFERROR(G169/$F$187,"")</f>
        <v>0</v>
      </c>
    </row>
    <row r="170" spans="2:9" x14ac:dyDescent="0.2">
      <c r="B170" s="353"/>
      <c r="C170" s="345"/>
      <c r="D170" s="23">
        <v>19301010</v>
      </c>
      <c r="E170" s="5" t="s">
        <v>512</v>
      </c>
      <c r="F170" s="129">
        <v>400000</v>
      </c>
      <c r="G170" s="177">
        <v>297425</v>
      </c>
      <c r="H170" s="167">
        <f t="shared" si="15"/>
        <v>0.74356250000000002</v>
      </c>
      <c r="I170" s="168">
        <f t="shared" si="16"/>
        <v>3.4991176470588234E-2</v>
      </c>
    </row>
    <row r="171" spans="2:9" x14ac:dyDescent="0.2">
      <c r="B171" s="353"/>
      <c r="C171" s="345"/>
      <c r="D171" s="23">
        <v>19301021</v>
      </c>
      <c r="E171" s="5" t="s">
        <v>513</v>
      </c>
      <c r="F171" s="129">
        <v>1000000</v>
      </c>
      <c r="G171" s="177"/>
      <c r="H171" s="167">
        <f t="shared" si="15"/>
        <v>0</v>
      </c>
      <c r="I171" s="168">
        <f t="shared" si="16"/>
        <v>0</v>
      </c>
    </row>
    <row r="172" spans="2:9" s="37" customFormat="1" x14ac:dyDescent="0.2">
      <c r="B172" s="353"/>
      <c r="C172" s="345"/>
      <c r="D172" s="23">
        <v>19301023</v>
      </c>
      <c r="E172" s="4" t="s">
        <v>432</v>
      </c>
      <c r="F172" s="129">
        <v>75000</v>
      </c>
      <c r="G172" s="177"/>
      <c r="H172" s="167">
        <f t="shared" si="15"/>
        <v>0</v>
      </c>
      <c r="I172" s="168">
        <f t="shared" si="16"/>
        <v>0</v>
      </c>
    </row>
    <row r="173" spans="2:9" s="37" customFormat="1" x14ac:dyDescent="0.2">
      <c r="B173" s="353"/>
      <c r="C173" s="345"/>
      <c r="D173" s="23">
        <v>19301026</v>
      </c>
      <c r="E173" s="4" t="s">
        <v>433</v>
      </c>
      <c r="F173" s="129">
        <v>3000000</v>
      </c>
      <c r="G173" s="177"/>
      <c r="H173" s="167">
        <f t="shared" si="15"/>
        <v>0</v>
      </c>
      <c r="I173" s="168">
        <f t="shared" si="16"/>
        <v>0</v>
      </c>
    </row>
    <row r="174" spans="2:9" s="37" customFormat="1" x14ac:dyDescent="0.2">
      <c r="B174" s="353"/>
      <c r="C174" s="345"/>
      <c r="D174" s="23">
        <v>19301027</v>
      </c>
      <c r="E174" s="4" t="s">
        <v>434</v>
      </c>
      <c r="F174" s="129">
        <v>180000</v>
      </c>
      <c r="G174" s="177"/>
      <c r="H174" s="167">
        <f t="shared" si="15"/>
        <v>0</v>
      </c>
      <c r="I174" s="168">
        <f t="shared" si="16"/>
        <v>0</v>
      </c>
    </row>
    <row r="175" spans="2:9" x14ac:dyDescent="0.2">
      <c r="B175" s="353"/>
      <c r="C175" s="346" t="s">
        <v>21</v>
      </c>
      <c r="D175" s="346"/>
      <c r="E175" s="346"/>
      <c r="F175" s="60">
        <f>SUM(F168:F174)</f>
        <v>6655000</v>
      </c>
      <c r="G175" s="60">
        <f>SUM(G168:G174)</f>
        <v>297425</v>
      </c>
      <c r="H175" s="167">
        <f t="shared" si="15"/>
        <v>4.4691960931630352E-2</v>
      </c>
      <c r="I175" s="168">
        <f t="shared" si="16"/>
        <v>3.4991176470588234E-2</v>
      </c>
    </row>
    <row r="176" spans="2:9" x14ac:dyDescent="0.2">
      <c r="B176" s="353"/>
      <c r="C176" s="348" t="s">
        <v>321</v>
      </c>
      <c r="D176" s="348"/>
      <c r="E176" s="348"/>
      <c r="F176" s="348"/>
      <c r="G176" s="348"/>
      <c r="H176" s="348"/>
      <c r="I176" s="348"/>
    </row>
    <row r="177" spans="2:9" x14ac:dyDescent="0.2">
      <c r="B177" s="353"/>
      <c r="C177" s="345">
        <v>2</v>
      </c>
      <c r="D177" s="23">
        <v>19302001</v>
      </c>
      <c r="E177" s="4" t="s">
        <v>322</v>
      </c>
      <c r="F177" s="129">
        <v>100000</v>
      </c>
      <c r="G177" s="177"/>
      <c r="H177" s="167">
        <f t="shared" si="15"/>
        <v>0</v>
      </c>
      <c r="I177" s="168">
        <f t="shared" si="16"/>
        <v>0</v>
      </c>
    </row>
    <row r="178" spans="2:9" x14ac:dyDescent="0.2">
      <c r="B178" s="353"/>
      <c r="C178" s="345"/>
      <c r="D178" s="23">
        <v>19302002</v>
      </c>
      <c r="E178" s="4" t="s">
        <v>323</v>
      </c>
      <c r="F178" s="129">
        <v>100000</v>
      </c>
      <c r="G178" s="177"/>
      <c r="H178" s="167">
        <f t="shared" si="15"/>
        <v>0</v>
      </c>
      <c r="I178" s="168">
        <f t="shared" si="16"/>
        <v>0</v>
      </c>
    </row>
    <row r="179" spans="2:9" x14ac:dyDescent="0.2">
      <c r="B179" s="353"/>
      <c r="C179" s="345"/>
      <c r="D179" s="23">
        <v>19302003</v>
      </c>
      <c r="E179" s="4" t="s">
        <v>324</v>
      </c>
      <c r="F179" s="129">
        <v>100000</v>
      </c>
      <c r="G179" s="177"/>
      <c r="H179" s="167">
        <f t="shared" si="15"/>
        <v>0</v>
      </c>
      <c r="I179" s="168">
        <f t="shared" si="16"/>
        <v>0</v>
      </c>
    </row>
    <row r="180" spans="2:9" x14ac:dyDescent="0.2">
      <c r="B180" s="353"/>
      <c r="C180" s="345"/>
      <c r="D180" s="23">
        <v>19302004</v>
      </c>
      <c r="E180" s="4" t="s">
        <v>325</v>
      </c>
      <c r="F180" s="129">
        <v>100000</v>
      </c>
      <c r="G180" s="177"/>
      <c r="H180" s="167">
        <f t="shared" si="15"/>
        <v>0</v>
      </c>
      <c r="I180" s="168">
        <f t="shared" si="16"/>
        <v>0</v>
      </c>
    </row>
    <row r="181" spans="2:9" s="37" customFormat="1" x14ac:dyDescent="0.2">
      <c r="B181" s="353"/>
      <c r="C181" s="345"/>
      <c r="D181" s="23">
        <v>19302005</v>
      </c>
      <c r="E181" s="4" t="s">
        <v>431</v>
      </c>
      <c r="F181" s="129">
        <v>100000</v>
      </c>
      <c r="G181" s="177">
        <v>40304</v>
      </c>
      <c r="H181" s="167">
        <f t="shared" si="15"/>
        <v>0.40304000000000001</v>
      </c>
      <c r="I181" s="168">
        <f t="shared" si="16"/>
        <v>4.7416470588235293E-3</v>
      </c>
    </row>
    <row r="182" spans="2:9" s="37" customFormat="1" x14ac:dyDescent="0.2">
      <c r="B182" s="353"/>
      <c r="C182" s="345"/>
      <c r="D182" s="23">
        <v>19302006</v>
      </c>
      <c r="E182" s="4" t="s">
        <v>445</v>
      </c>
      <c r="F182" s="129">
        <v>1000000</v>
      </c>
      <c r="G182" s="177"/>
      <c r="H182" s="167">
        <f t="shared" si="15"/>
        <v>0</v>
      </c>
      <c r="I182" s="168">
        <f t="shared" si="16"/>
        <v>0</v>
      </c>
    </row>
    <row r="183" spans="2:9" s="37" customFormat="1" x14ac:dyDescent="0.2">
      <c r="B183" s="353"/>
      <c r="C183" s="345"/>
      <c r="D183" s="23">
        <v>19302007</v>
      </c>
      <c r="E183" s="43" t="s">
        <v>472</v>
      </c>
      <c r="F183" s="129">
        <v>200000</v>
      </c>
      <c r="G183" s="177"/>
      <c r="H183" s="167">
        <f t="shared" si="15"/>
        <v>0</v>
      </c>
      <c r="I183" s="168">
        <f t="shared" si="16"/>
        <v>0</v>
      </c>
    </row>
    <row r="184" spans="2:9" s="37" customFormat="1" x14ac:dyDescent="0.2">
      <c r="B184" s="353"/>
      <c r="C184" s="345"/>
      <c r="D184" s="23">
        <v>19302008</v>
      </c>
      <c r="E184" s="43" t="s">
        <v>492</v>
      </c>
      <c r="F184" s="129">
        <v>75000</v>
      </c>
      <c r="G184" s="177"/>
      <c r="H184" s="167">
        <f t="shared" si="15"/>
        <v>0</v>
      </c>
      <c r="I184" s="168">
        <f t="shared" si="16"/>
        <v>0</v>
      </c>
    </row>
    <row r="185" spans="2:9" s="37" customFormat="1" x14ac:dyDescent="0.2">
      <c r="B185" s="353"/>
      <c r="C185" s="345"/>
      <c r="D185" s="23">
        <v>19302009</v>
      </c>
      <c r="E185" s="43" t="s">
        <v>485</v>
      </c>
      <c r="F185" s="129">
        <v>70000</v>
      </c>
      <c r="G185" s="177"/>
      <c r="H185" s="167">
        <f t="shared" si="15"/>
        <v>0</v>
      </c>
      <c r="I185" s="168">
        <f t="shared" si="16"/>
        <v>0</v>
      </c>
    </row>
    <row r="186" spans="2:9" x14ac:dyDescent="0.2">
      <c r="B186" s="353"/>
      <c r="C186" s="346" t="s">
        <v>21</v>
      </c>
      <c r="D186" s="346"/>
      <c r="E186" s="346"/>
      <c r="F186" s="60">
        <f>SUM(F177:F185)</f>
        <v>1845000</v>
      </c>
      <c r="G186" s="60">
        <f>SUM(G177:G185)</f>
        <v>40304</v>
      </c>
      <c r="H186" s="167">
        <f t="shared" si="15"/>
        <v>2.18449864498645E-2</v>
      </c>
      <c r="I186" s="168">
        <f t="shared" si="16"/>
        <v>4.7416470588235293E-3</v>
      </c>
    </row>
    <row r="187" spans="2:9" s="37" customFormat="1" x14ac:dyDescent="0.2">
      <c r="B187" s="321" t="s">
        <v>536</v>
      </c>
      <c r="C187" s="321"/>
      <c r="D187" s="321"/>
      <c r="E187" s="321"/>
      <c r="F187" s="61">
        <f t="shared" ref="F187:G187" si="17">F175+F186</f>
        <v>8500000</v>
      </c>
      <c r="G187" s="61">
        <f t="shared" si="17"/>
        <v>337729</v>
      </c>
      <c r="H187" s="167">
        <f t="shared" si="15"/>
        <v>3.9732823529411765E-2</v>
      </c>
      <c r="I187" s="168">
        <f t="shared" si="16"/>
        <v>3.9732823529411765E-2</v>
      </c>
    </row>
    <row r="188" spans="2:9" s="37" customFormat="1" x14ac:dyDescent="0.2">
      <c r="B188" s="338" t="s">
        <v>541</v>
      </c>
      <c r="C188" s="338"/>
      <c r="D188" s="338"/>
      <c r="E188" s="338"/>
      <c r="F188" s="338"/>
      <c r="G188" s="338"/>
      <c r="H188" s="338"/>
      <c r="I188" s="338"/>
    </row>
    <row r="189" spans="2:9" x14ac:dyDescent="0.2">
      <c r="B189" s="353">
        <v>94</v>
      </c>
      <c r="C189" s="356" t="s">
        <v>509</v>
      </c>
      <c r="D189" s="356"/>
      <c r="E189" s="356"/>
      <c r="F189" s="356"/>
      <c r="G189" s="356"/>
      <c r="H189" s="356"/>
      <c r="I189" s="356"/>
    </row>
    <row r="190" spans="2:9" s="37" customFormat="1" x14ac:dyDescent="0.2">
      <c r="B190" s="353"/>
      <c r="C190" s="352">
        <v>1</v>
      </c>
      <c r="D190" s="23">
        <v>19401001</v>
      </c>
      <c r="E190" s="43" t="s">
        <v>769</v>
      </c>
      <c r="F190" s="42">
        <v>50000</v>
      </c>
      <c r="G190" s="177">
        <v>32413</v>
      </c>
      <c r="H190" s="167">
        <f>IFERROR(G190/F190,"")</f>
        <v>0.64825999999999995</v>
      </c>
      <c r="I190" s="168">
        <f>IFERROR(G190/$F$200,"")</f>
        <v>2.1608666666666668E-2</v>
      </c>
    </row>
    <row r="191" spans="2:9" x14ac:dyDescent="0.2">
      <c r="B191" s="353"/>
      <c r="C191" s="352"/>
      <c r="D191" s="23">
        <v>19401002</v>
      </c>
      <c r="E191" s="43" t="s">
        <v>770</v>
      </c>
      <c r="F191" s="42">
        <v>100000</v>
      </c>
      <c r="G191" s="177">
        <v>114407.4</v>
      </c>
      <c r="H191" s="167">
        <f t="shared" ref="H191:H200" si="18">IFERROR(G191/F191,"")</f>
        <v>1.144074</v>
      </c>
      <c r="I191" s="168">
        <f t="shared" ref="I191:I200" si="19">IFERROR(G191/$F$200,"")</f>
        <v>7.6271599999999995E-2</v>
      </c>
    </row>
    <row r="192" spans="2:9" x14ac:dyDescent="0.2">
      <c r="B192" s="353"/>
      <c r="C192" s="352"/>
      <c r="D192" s="23">
        <v>19401003</v>
      </c>
      <c r="E192" s="43" t="s">
        <v>771</v>
      </c>
      <c r="F192" s="42">
        <v>20000</v>
      </c>
      <c r="G192" s="177">
        <v>15145.2</v>
      </c>
      <c r="H192" s="167">
        <f t="shared" si="18"/>
        <v>0.75726000000000004</v>
      </c>
      <c r="I192" s="168">
        <f t="shared" si="19"/>
        <v>1.0096800000000001E-2</v>
      </c>
    </row>
    <row r="193" spans="2:9" x14ac:dyDescent="0.2">
      <c r="B193" s="353"/>
      <c r="C193" s="352"/>
      <c r="D193" s="23">
        <v>19401004</v>
      </c>
      <c r="E193" s="43" t="s">
        <v>772</v>
      </c>
      <c r="F193" s="42">
        <v>100000</v>
      </c>
      <c r="G193" s="177">
        <v>96174</v>
      </c>
      <c r="H193" s="167">
        <f t="shared" si="18"/>
        <v>0.96174000000000004</v>
      </c>
      <c r="I193" s="168">
        <f t="shared" si="19"/>
        <v>6.4116000000000006E-2</v>
      </c>
    </row>
    <row r="194" spans="2:9" s="37" customFormat="1" x14ac:dyDescent="0.2">
      <c r="B194" s="353"/>
      <c r="C194" s="352"/>
      <c r="D194" s="23">
        <v>19401005</v>
      </c>
      <c r="E194" s="43" t="s">
        <v>773</v>
      </c>
      <c r="F194" s="42">
        <v>10000</v>
      </c>
      <c r="G194" s="177">
        <v>3860</v>
      </c>
      <c r="H194" s="167">
        <f t="shared" si="18"/>
        <v>0.38600000000000001</v>
      </c>
      <c r="I194" s="168">
        <f t="shared" si="19"/>
        <v>2.5733333333333333E-3</v>
      </c>
    </row>
    <row r="195" spans="2:9" x14ac:dyDescent="0.2">
      <c r="B195" s="353"/>
      <c r="C195" s="352"/>
      <c r="D195" s="23">
        <v>19402001</v>
      </c>
      <c r="E195" s="43" t="s">
        <v>774</v>
      </c>
      <c r="F195" s="42">
        <v>1160000</v>
      </c>
      <c r="G195" s="177">
        <v>1841547</v>
      </c>
      <c r="H195" s="167">
        <f t="shared" si="18"/>
        <v>1.5875405172413792</v>
      </c>
      <c r="I195" s="168">
        <f t="shared" si="19"/>
        <v>1.227698</v>
      </c>
    </row>
    <row r="196" spans="2:9" s="37" customFormat="1" x14ac:dyDescent="0.2">
      <c r="B196" s="353"/>
      <c r="C196" s="352"/>
      <c r="D196" s="23">
        <v>19402002</v>
      </c>
      <c r="E196" s="43" t="s">
        <v>775</v>
      </c>
      <c r="F196" s="42">
        <v>20000</v>
      </c>
      <c r="G196" s="177">
        <v>18172.5</v>
      </c>
      <c r="H196" s="167">
        <f t="shared" si="18"/>
        <v>0.90862500000000002</v>
      </c>
      <c r="I196" s="168">
        <f t="shared" si="19"/>
        <v>1.2115000000000001E-2</v>
      </c>
    </row>
    <row r="197" spans="2:9" x14ac:dyDescent="0.2">
      <c r="B197" s="353"/>
      <c r="C197" s="352"/>
      <c r="D197" s="23">
        <v>19402003</v>
      </c>
      <c r="E197" s="43" t="s">
        <v>776</v>
      </c>
      <c r="F197" s="42">
        <v>25000</v>
      </c>
      <c r="G197" s="177">
        <v>31486.5</v>
      </c>
      <c r="H197" s="167">
        <f t="shared" si="18"/>
        <v>1.25946</v>
      </c>
      <c r="I197" s="168">
        <f t="shared" si="19"/>
        <v>2.0990999999999999E-2</v>
      </c>
    </row>
    <row r="198" spans="2:9" s="37" customFormat="1" x14ac:dyDescent="0.2">
      <c r="B198" s="353"/>
      <c r="C198" s="352"/>
      <c r="D198" s="23">
        <v>19402005</v>
      </c>
      <c r="E198" s="43" t="s">
        <v>777</v>
      </c>
      <c r="F198" s="42">
        <v>15000</v>
      </c>
      <c r="G198" s="177">
        <v>12780</v>
      </c>
      <c r="H198" s="167">
        <f t="shared" si="18"/>
        <v>0.85199999999999998</v>
      </c>
      <c r="I198" s="168">
        <f t="shared" si="19"/>
        <v>8.5199999999999998E-3</v>
      </c>
    </row>
    <row r="199" spans="2:9" s="37" customFormat="1" x14ac:dyDescent="0.2">
      <c r="B199" s="353"/>
      <c r="C199" s="346" t="s">
        <v>21</v>
      </c>
      <c r="D199" s="346"/>
      <c r="E199" s="346"/>
      <c r="F199" s="93">
        <f>SUM(F190:F198)</f>
        <v>1500000</v>
      </c>
      <c r="G199" s="93">
        <f t="shared" ref="G199" si="20">SUM(G190:G198)</f>
        <v>2165985.6</v>
      </c>
      <c r="H199" s="167">
        <f t="shared" si="18"/>
        <v>1.4439904000000001</v>
      </c>
      <c r="I199" s="168">
        <f t="shared" si="19"/>
        <v>1.4439904000000001</v>
      </c>
    </row>
    <row r="200" spans="2:9" s="37" customFormat="1" x14ac:dyDescent="0.2">
      <c r="B200" s="321" t="s">
        <v>540</v>
      </c>
      <c r="C200" s="321"/>
      <c r="D200" s="321"/>
      <c r="E200" s="321"/>
      <c r="F200" s="98">
        <f>SUM(F199)</f>
        <v>1500000</v>
      </c>
      <c r="G200" s="98">
        <f t="shared" ref="G200" si="21">SUM(G199)</f>
        <v>2165985.6</v>
      </c>
      <c r="H200" s="167">
        <f t="shared" si="18"/>
        <v>1.4439904000000001</v>
      </c>
      <c r="I200" s="168">
        <f t="shared" si="19"/>
        <v>1.4439904000000001</v>
      </c>
    </row>
    <row r="201" spans="2:9" x14ac:dyDescent="0.2">
      <c r="B201" s="336" t="s">
        <v>561</v>
      </c>
      <c r="C201" s="336"/>
      <c r="D201" s="336"/>
      <c r="E201" s="336"/>
      <c r="F201" s="178">
        <f>F187+F200</f>
        <v>10000000</v>
      </c>
      <c r="G201" s="178">
        <f t="shared" ref="G201" si="22">G187+G200</f>
        <v>2503714.6</v>
      </c>
      <c r="H201" s="167">
        <f t="shared" ref="H201" si="23">IFERROR(G201/F201,"")</f>
        <v>0.25037145999999999</v>
      </c>
      <c r="I201" s="168">
        <f>IFERROR(G201/$F$201,"")</f>
        <v>0.25037145999999999</v>
      </c>
    </row>
    <row r="203" spans="2:9" x14ac:dyDescent="0.2">
      <c r="F203" s="90">
        <f>F150+F162+F201</f>
        <v>68814000</v>
      </c>
      <c r="G203" s="90">
        <f>G150+G162+G201</f>
        <v>45663334.814000003</v>
      </c>
    </row>
    <row r="204" spans="2:9" x14ac:dyDescent="0.2">
      <c r="F204" s="90">
        <f>'ن-فرعي'!F406-'ر-فرعي'!F203</f>
        <v>0</v>
      </c>
      <c r="G204" s="90">
        <f>'ن-فرعي'!H406-'ر-فرعي'!G203</f>
        <v>0</v>
      </c>
    </row>
    <row r="206" spans="2:9" x14ac:dyDescent="0.2">
      <c r="G206" s="90"/>
    </row>
    <row r="207" spans="2:9" x14ac:dyDescent="0.2">
      <c r="G207" s="90"/>
    </row>
  </sheetData>
  <mergeCells count="115">
    <mergeCell ref="B72:B74"/>
    <mergeCell ref="C79:I79"/>
    <mergeCell ref="B78:I78"/>
    <mergeCell ref="B77:I77"/>
    <mergeCell ref="C167:I167"/>
    <mergeCell ref="B166:I166"/>
    <mergeCell ref="B165:I165"/>
    <mergeCell ref="F164:I164"/>
    <mergeCell ref="C189:I189"/>
    <mergeCell ref="B188:I188"/>
    <mergeCell ref="C176:I176"/>
    <mergeCell ref="C157:C160"/>
    <mergeCell ref="C131:E131"/>
    <mergeCell ref="B139:B142"/>
    <mergeCell ref="B153:E153"/>
    <mergeCell ref="B163:G163"/>
    <mergeCell ref="C140:C141"/>
    <mergeCell ref="B105:B134"/>
    <mergeCell ref="B136:E136"/>
    <mergeCell ref="B135:E135"/>
    <mergeCell ref="C134:E134"/>
    <mergeCell ref="C125:E125"/>
    <mergeCell ref="C128:E128"/>
    <mergeCell ref="B144:E144"/>
    <mergeCell ref="C57:I57"/>
    <mergeCell ref="C49:I49"/>
    <mergeCell ref="C41:I41"/>
    <mergeCell ref="C33:I33"/>
    <mergeCell ref="C25:I25"/>
    <mergeCell ref="C18:I18"/>
    <mergeCell ref="C13:I13"/>
    <mergeCell ref="C6:I6"/>
    <mergeCell ref="B5:I5"/>
    <mergeCell ref="C156:I156"/>
    <mergeCell ref="B155:I155"/>
    <mergeCell ref="B154:I154"/>
    <mergeCell ref="F153:I153"/>
    <mergeCell ref="B152:I152"/>
    <mergeCell ref="C147:I147"/>
    <mergeCell ref="B201:E201"/>
    <mergeCell ref="C190:C198"/>
    <mergeCell ref="B162:E162"/>
    <mergeCell ref="B150:E150"/>
    <mergeCell ref="B167:B186"/>
    <mergeCell ref="C168:C174"/>
    <mergeCell ref="C177:C185"/>
    <mergeCell ref="B164:E164"/>
    <mergeCell ref="B149:E149"/>
    <mergeCell ref="B147:B148"/>
    <mergeCell ref="B200:E200"/>
    <mergeCell ref="B187:E187"/>
    <mergeCell ref="C199:E199"/>
    <mergeCell ref="C175:E175"/>
    <mergeCell ref="B156:B160"/>
    <mergeCell ref="B161:E161"/>
    <mergeCell ref="B189:B199"/>
    <mergeCell ref="C186:E186"/>
    <mergeCell ref="B145:E145"/>
    <mergeCell ref="C142:E142"/>
    <mergeCell ref="B146:I146"/>
    <mergeCell ref="C139:I139"/>
    <mergeCell ref="B138:I138"/>
    <mergeCell ref="B137:I137"/>
    <mergeCell ref="C132:I132"/>
    <mergeCell ref="C129:I129"/>
    <mergeCell ref="C126:I126"/>
    <mergeCell ref="B143:E143"/>
    <mergeCell ref="C105:I105"/>
    <mergeCell ref="B104:I104"/>
    <mergeCell ref="C100:I100"/>
    <mergeCell ref="C89:I89"/>
    <mergeCell ref="C82:I82"/>
    <mergeCell ref="B1:C3"/>
    <mergeCell ref="C32:E32"/>
    <mergeCell ref="D2:D3"/>
    <mergeCell ref="E2:E3"/>
    <mergeCell ref="C14:C16"/>
    <mergeCell ref="C34:C39"/>
    <mergeCell ref="C26:C31"/>
    <mergeCell ref="C17:E17"/>
    <mergeCell ref="F3:I3"/>
    <mergeCell ref="D1:I1"/>
    <mergeCell ref="B76:E76"/>
    <mergeCell ref="B75:E75"/>
    <mergeCell ref="B68:E68"/>
    <mergeCell ref="B69:E69"/>
    <mergeCell ref="B4:I4"/>
    <mergeCell ref="C72:I72"/>
    <mergeCell ref="B71:I71"/>
    <mergeCell ref="B70:I70"/>
    <mergeCell ref="C64:I64"/>
    <mergeCell ref="C106:C124"/>
    <mergeCell ref="C88:E88"/>
    <mergeCell ref="C40:E40"/>
    <mergeCell ref="C65:C66"/>
    <mergeCell ref="B6:B67"/>
    <mergeCell ref="C48:E48"/>
    <mergeCell ref="C7:C11"/>
    <mergeCell ref="C67:E67"/>
    <mergeCell ref="C12:E12"/>
    <mergeCell ref="C63:E63"/>
    <mergeCell ref="C56:E56"/>
    <mergeCell ref="C19:C23"/>
    <mergeCell ref="C58:C62"/>
    <mergeCell ref="C50:C55"/>
    <mergeCell ref="C42:C47"/>
    <mergeCell ref="C24:E24"/>
    <mergeCell ref="B79:B102"/>
    <mergeCell ref="C83:C87"/>
    <mergeCell ref="C74:E74"/>
    <mergeCell ref="B103:E103"/>
    <mergeCell ref="C102:E102"/>
    <mergeCell ref="C99:E99"/>
    <mergeCell ref="C81:E81"/>
    <mergeCell ref="C90:C98"/>
  </mergeCells>
  <conditionalFormatting sqref="E159">
    <cfRule type="containsBlanks" dxfId="231" priority="43">
      <formula>LEN(TRIM(E159))=0</formula>
    </cfRule>
  </conditionalFormatting>
  <conditionalFormatting sqref="F2:I3">
    <cfRule type="containsBlanks" dxfId="230" priority="30" stopIfTrue="1">
      <formula>LEN(TRIM(F2))=0</formula>
    </cfRule>
  </conditionalFormatting>
  <conditionalFormatting sqref="H7:I12 H73:I76 H65:I69 H58:I63 H50:I56 H42:I48 H34:I40 H26:I32 H19:I24 H14:I17 H148:I150 H140:I145 H133:I136 H130:I131 H127:I128 H106:I125 H101:I103 H90:I99 H83:I88 H80:I81">
    <cfRule type="containsBlanks" dxfId="229" priority="29" stopIfTrue="1">
      <formula>LEN(TRIM(H7))=0</formula>
    </cfRule>
  </conditionalFormatting>
  <conditionalFormatting sqref="H157:I162">
    <cfRule type="containsBlanks" dxfId="228" priority="28" stopIfTrue="1">
      <formula>LEN(TRIM(H157))=0</formula>
    </cfRule>
  </conditionalFormatting>
  <conditionalFormatting sqref="H168:I175 H177:I187">
    <cfRule type="containsBlanks" dxfId="227" priority="27" stopIfTrue="1">
      <formula>LEN(TRIM(H168))=0</formula>
    </cfRule>
  </conditionalFormatting>
  <conditionalFormatting sqref="H190:I201">
    <cfRule type="containsBlanks" dxfId="226" priority="26" stopIfTrue="1">
      <formula>LEN(TRIM(H190))=0</formula>
    </cfRule>
  </conditionalFormatting>
  <conditionalFormatting sqref="F164:I164">
    <cfRule type="containsBlanks" dxfId="225" priority="25" stopIfTrue="1">
      <formula>LEN(TRIM(F164))=0</formula>
    </cfRule>
  </conditionalFormatting>
  <conditionalFormatting sqref="F153:I153">
    <cfRule type="containsBlanks" dxfId="224" priority="24" stopIfTrue="1">
      <formula>LEN(TRIM(F153))=0</formula>
    </cfRule>
  </conditionalFormatting>
  <conditionalFormatting sqref="G7:G11">
    <cfRule type="containsBlanks" dxfId="223" priority="23">
      <formula>LEN(TRIM(G7))=0</formula>
    </cfRule>
  </conditionalFormatting>
  <conditionalFormatting sqref="G14:G16">
    <cfRule type="containsBlanks" dxfId="222" priority="22">
      <formula>LEN(TRIM(G14))=0</formula>
    </cfRule>
  </conditionalFormatting>
  <conditionalFormatting sqref="G19:G23">
    <cfRule type="containsBlanks" dxfId="221" priority="21">
      <formula>LEN(TRIM(G19))=0</formula>
    </cfRule>
  </conditionalFormatting>
  <conditionalFormatting sqref="G26:G31">
    <cfRule type="containsBlanks" dxfId="220" priority="20">
      <formula>LEN(TRIM(G26))=0</formula>
    </cfRule>
  </conditionalFormatting>
  <conditionalFormatting sqref="G34:G39">
    <cfRule type="containsBlanks" dxfId="219" priority="19">
      <formula>LEN(TRIM(G34))=0</formula>
    </cfRule>
  </conditionalFormatting>
  <conditionalFormatting sqref="G42:G47">
    <cfRule type="containsBlanks" dxfId="218" priority="18">
      <formula>LEN(TRIM(G42))=0</formula>
    </cfRule>
  </conditionalFormatting>
  <conditionalFormatting sqref="G50:G55">
    <cfRule type="containsBlanks" dxfId="217" priority="17">
      <formula>LEN(TRIM(G50))=0</formula>
    </cfRule>
  </conditionalFormatting>
  <conditionalFormatting sqref="G58:G62">
    <cfRule type="containsBlanks" dxfId="216" priority="16">
      <formula>LEN(TRIM(G58))=0</formula>
    </cfRule>
  </conditionalFormatting>
  <conditionalFormatting sqref="G65:G66">
    <cfRule type="containsBlanks" dxfId="215" priority="15">
      <formula>LEN(TRIM(G65))=0</formula>
    </cfRule>
  </conditionalFormatting>
  <conditionalFormatting sqref="G73">
    <cfRule type="containsBlanks" dxfId="214" priority="14">
      <formula>LEN(TRIM(G73))=0</formula>
    </cfRule>
  </conditionalFormatting>
  <conditionalFormatting sqref="G80">
    <cfRule type="containsBlanks" dxfId="213" priority="13">
      <formula>LEN(TRIM(G80))=0</formula>
    </cfRule>
  </conditionalFormatting>
  <conditionalFormatting sqref="G83:G87">
    <cfRule type="containsBlanks" dxfId="212" priority="12">
      <formula>LEN(TRIM(G83))=0</formula>
    </cfRule>
  </conditionalFormatting>
  <conditionalFormatting sqref="G90:G98">
    <cfRule type="containsBlanks" dxfId="211" priority="11">
      <formula>LEN(TRIM(G90))=0</formula>
    </cfRule>
  </conditionalFormatting>
  <conditionalFormatting sqref="G101">
    <cfRule type="containsBlanks" dxfId="210" priority="10">
      <formula>LEN(TRIM(G101))=0</formula>
    </cfRule>
  </conditionalFormatting>
  <conditionalFormatting sqref="G106:G124">
    <cfRule type="containsBlanks" dxfId="209" priority="9">
      <formula>LEN(TRIM(G106))=0</formula>
    </cfRule>
  </conditionalFormatting>
  <conditionalFormatting sqref="G127">
    <cfRule type="containsBlanks" dxfId="208" priority="8">
      <formula>LEN(TRIM(G127))=0</formula>
    </cfRule>
  </conditionalFormatting>
  <conditionalFormatting sqref="G130">
    <cfRule type="containsBlanks" dxfId="207" priority="7">
      <formula>LEN(TRIM(G130))=0</formula>
    </cfRule>
  </conditionalFormatting>
  <conditionalFormatting sqref="G133">
    <cfRule type="containsBlanks" dxfId="206" priority="6">
      <formula>LEN(TRIM(G133))=0</formula>
    </cfRule>
  </conditionalFormatting>
  <conditionalFormatting sqref="G140:G141">
    <cfRule type="containsBlanks" dxfId="205" priority="5">
      <formula>LEN(TRIM(G140))=0</formula>
    </cfRule>
  </conditionalFormatting>
  <conditionalFormatting sqref="G157:G160">
    <cfRule type="containsBlanks" dxfId="204" priority="4">
      <formula>LEN(TRIM(G157))=0</formula>
    </cfRule>
  </conditionalFormatting>
  <conditionalFormatting sqref="G168:G174">
    <cfRule type="containsBlanks" dxfId="203" priority="3">
      <formula>LEN(TRIM(G168))=0</formula>
    </cfRule>
  </conditionalFormatting>
  <conditionalFormatting sqref="G177:G185">
    <cfRule type="containsBlanks" dxfId="202" priority="2">
      <formula>LEN(TRIM(G177))=0</formula>
    </cfRule>
  </conditionalFormatting>
  <conditionalFormatting sqref="G190:G198">
    <cfRule type="containsBlanks" dxfId="201" priority="1">
      <formula>LEN(TRIM(G190))=0</formula>
    </cfRule>
  </conditionalFormatting>
  <pageMargins left="0.19685039370078741" right="0.19685039370078741" top="0.78740157480314965" bottom="0.6692913385826772" header="0.31496062992125984" footer="0.31496062992125984"/>
  <pageSetup paperSize="9" scale="76" orientation="portrait" r:id="rId1"/>
  <rowBreaks count="3" manualBreakCount="3">
    <brk id="63" max="8" man="1"/>
    <brk id="125" max="8" man="1"/>
    <brk id="162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341BBF6D867B4584F0431B0F61DA3F" ma:contentTypeVersion="1" ma:contentTypeDescription="Create a new document." ma:contentTypeScope="" ma:versionID="03ea5624ae576f704d6fd260ca12f5c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A77034-62D2-4A75-8E8F-CD86997A1249}"/>
</file>

<file path=customXml/itemProps2.xml><?xml version="1.0" encoding="utf-8"?>
<ds:datastoreItem xmlns:ds="http://schemas.openxmlformats.org/officeDocument/2006/customXml" ds:itemID="{83096407-0FC1-48BF-8CB4-1BF65073C2AF}"/>
</file>

<file path=customXml/itemProps3.xml><?xml version="1.0" encoding="utf-8"?>
<ds:datastoreItem xmlns:ds="http://schemas.openxmlformats.org/officeDocument/2006/customXml" ds:itemID="{E819AA03-4691-48A6-A9E2-CC318BDA02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10</vt:i4>
      </vt:variant>
    </vt:vector>
  </HeadingPairs>
  <TitlesOfParts>
    <vt:vector size="27" baseType="lpstr">
      <vt:lpstr>الواجهة</vt:lpstr>
      <vt:lpstr>خلاصة</vt:lpstr>
      <vt:lpstr>ر-باب</vt:lpstr>
      <vt:lpstr>ن-باب</vt:lpstr>
      <vt:lpstr>ر-فصل</vt:lpstr>
      <vt:lpstr>ن-فصل</vt:lpstr>
      <vt:lpstr>ر-مواد</vt:lpstr>
      <vt:lpstr>ن-مواد</vt:lpstr>
      <vt:lpstr>ر-فرعي</vt:lpstr>
      <vt:lpstr>ن-فرعي</vt:lpstr>
      <vt:lpstr> جهات</vt:lpstr>
      <vt:lpstr>النسب</vt:lpstr>
      <vt:lpstr>التدفق النقدي</vt:lpstr>
      <vt:lpstr>أمانات وذمم</vt:lpstr>
      <vt:lpstr>أعداد طلبة الجهات</vt:lpstr>
      <vt:lpstr>ويب3</vt:lpstr>
      <vt:lpstr>ويب4</vt:lpstr>
      <vt:lpstr>' جهات'!Print_Area</vt:lpstr>
      <vt:lpstr>خلاصة!Print_Area</vt:lpstr>
      <vt:lpstr>'ر-باب'!Print_Area</vt:lpstr>
      <vt:lpstr>'ر-فرعي'!Print_Area</vt:lpstr>
      <vt:lpstr>'ر-فصل'!Print_Area</vt:lpstr>
      <vt:lpstr>'ر-مواد'!Print_Area</vt:lpstr>
      <vt:lpstr>'ن-باب'!Print_Area</vt:lpstr>
      <vt:lpstr>'ن-فرعي'!Print_Area</vt:lpstr>
      <vt:lpstr>'ن-فصل'!Print_Area</vt:lpstr>
      <vt:lpstr>'ن-مواد'!Print_Area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Shafi</dc:creator>
  <cp:lastModifiedBy>Shafi</cp:lastModifiedBy>
  <cp:lastPrinted>2021-01-24T10:00:05Z</cp:lastPrinted>
  <dcterms:created xsi:type="dcterms:W3CDTF">2015-11-17T18:14:20Z</dcterms:created>
  <dcterms:modified xsi:type="dcterms:W3CDTF">2021-02-23T09:30:28Z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0x01010046341BBF6D867B4584F0431B0F61DA3F</vt:lpwstr>
  </property>
</Properties>
</file>